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UqKKVDg/S9eHZ+AqIR0ZIihyhUx+miyh3T7kjTf23g45hTqwCq/kPPyWCJDPbsb7MYZdCjKK+L8RUWii33d5lA==" workbookSaltValue="s5PW+KXPmztTptycKRBKQA==" workbookSpinCount="100000" lockStructure="true"/>
  <bookViews>
    <workbookView xWindow="-120" yWindow="-120" windowWidth="20730" windowHeight="11760" tabRatio="808"/>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45621"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F14" i="9" s="1"/>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c r="DU32" i="19" a="1"/>
  <c r="DU32" i="19" s="1"/>
  <c r="DU33" i="19" a="1"/>
  <c r="DU33" i="19" s="1"/>
  <c r="DU34" i="19" a="1"/>
  <c r="DU34" i="19" s="1"/>
  <c r="DU35" i="19" a="1"/>
  <c r="DU35" i="19" s="1"/>
  <c r="DU36" i="19" a="1"/>
  <c r="DU36" i="19" s="1"/>
  <c r="DU37" i="19" a="1"/>
  <c r="DU37" i="19"/>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K172" i="18"/>
  <c r="K134" i="18"/>
  <c r="K96" i="18"/>
  <c r="K58" i="18"/>
  <c r="K20" i="18"/>
  <c r="K210" i="5"/>
  <c r="K172" i="5"/>
  <c r="K134" i="5"/>
  <c r="K96" i="5"/>
  <c r="K58" i="5"/>
  <c r="K20" i="5"/>
  <c r="K1882" i="22"/>
  <c r="K1844" i="22"/>
  <c r="K1806" i="22"/>
  <c r="K1768" i="22"/>
  <c r="K1730" i="22"/>
  <c r="K1692" i="22"/>
  <c r="K1654" i="22"/>
  <c r="K1616" i="22"/>
  <c r="K1578" i="22"/>
  <c r="K1540" i="22"/>
  <c r="K1502" i="22"/>
  <c r="K1464" i="22"/>
  <c r="K1426" i="22"/>
  <c r="K1388" i="22"/>
  <c r="K1350" i="22"/>
  <c r="K1312" i="22"/>
  <c r="K1274" i="22"/>
  <c r="K1236" i="22"/>
  <c r="K1198" i="22"/>
  <c r="K1160" i="22"/>
  <c r="K1122" i="22"/>
  <c r="K1084" i="22"/>
  <c r="K1046" i="22"/>
  <c r="K1008" i="22"/>
  <c r="K970" i="22"/>
  <c r="K932" i="22"/>
  <c r="K894" i="22"/>
  <c r="K856" i="22"/>
  <c r="K818" i="22"/>
  <c r="K780" i="22"/>
  <c r="K742" i="22"/>
  <c r="K704" i="22"/>
  <c r="K666" i="22"/>
  <c r="K628" i="22"/>
  <c r="K590" i="22"/>
  <c r="K552" i="22"/>
  <c r="K514" i="22"/>
  <c r="K476" i="22"/>
  <c r="K438" i="22"/>
  <c r="K400" i="22"/>
  <c r="K362" i="22"/>
  <c r="K324" i="22"/>
  <c r="K286" i="22"/>
  <c r="K248" i="22"/>
  <c r="K210" i="22"/>
  <c r="K172" i="22"/>
  <c r="K134" i="22"/>
  <c r="K96" i="22"/>
  <c r="K58" i="22"/>
  <c r="K20" i="22"/>
  <c r="K324" i="15"/>
  <c r="K286" i="15"/>
  <c r="K248" i="15"/>
  <c r="K210" i="15"/>
  <c r="K172" i="15"/>
  <c r="K134" i="15"/>
  <c r="K96" i="15"/>
  <c r="K58" i="15"/>
  <c r="K20" i="15"/>
  <c r="K704" i="14"/>
  <c r="K666" i="14"/>
  <c r="K628" i="14"/>
  <c r="K590" i="14"/>
  <c r="K552" i="14"/>
  <c r="K514" i="14"/>
  <c r="K476" i="14"/>
  <c r="K438" i="14"/>
  <c r="K400" i="14"/>
  <c r="K362" i="14"/>
  <c r="K324" i="14"/>
  <c r="K286" i="14"/>
  <c r="K248" i="14"/>
  <c r="K210" i="14"/>
  <c r="K172" i="14"/>
  <c r="K134" i="14"/>
  <c r="K96" i="14"/>
  <c r="K58" i="14"/>
  <c r="K20" i="14"/>
  <c r="K96" i="13"/>
  <c r="K58" i="13"/>
  <c r="K20" i="13"/>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5"/>
  <c r="K14" i="18"/>
  <c r="K14" i="22"/>
  <c r="K14" i="15"/>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D1885" i="22"/>
  <c r="E1885" i="22" s="1"/>
  <c r="D1884" i="22"/>
  <c r="E1884" i="22" s="1"/>
  <c r="D1883" i="22"/>
  <c r="E1883" i="22" s="1"/>
  <c r="D1882" i="22"/>
  <c r="E1882" i="22" s="1"/>
  <c r="D1888" i="22" l="1"/>
  <c r="E1888" i="22" s="1"/>
  <c r="D1892" i="22"/>
  <c r="E1892" i="22" s="1"/>
  <c r="D1896" i="22"/>
  <c r="E1896" i="22" s="1"/>
  <c r="D1900" i="22"/>
  <c r="E1900" i="22" s="1"/>
  <c r="D1904" i="22"/>
  <c r="E1904" i="22" s="1"/>
  <c r="D1908" i="22"/>
  <c r="E1908" i="22" s="1"/>
  <c r="D1912" i="22"/>
  <c r="E1912" i="22" s="1"/>
  <c r="D1881" i="22"/>
  <c r="D1886" i="22"/>
  <c r="E1886" i="22" s="1"/>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c r="B128" i="5" a="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D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c r="A1050" i="21" a="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D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D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D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D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D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D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D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CG20" i="9" s="1" a="1"/>
  <c r="CG20" i="9" s="1"/>
  <c r="DC3" i="1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D100" i="13" l="1"/>
  <c r="D108" i="13"/>
  <c r="D308" i="15"/>
  <c r="D1249" i="22"/>
  <c r="D51" i="13"/>
  <c r="D66" i="13"/>
  <c r="D70" i="13"/>
  <c r="D82" i="13"/>
  <c r="D90" i="13"/>
  <c r="D101" i="13"/>
  <c r="D668" i="21"/>
  <c r="D672" i="21"/>
  <c r="D723" i="21"/>
  <c r="D424" i="22"/>
  <c r="D1873" i="22"/>
  <c r="D823" i="22"/>
  <c r="D927" i="22"/>
  <c r="D943" i="22"/>
  <c r="D144" i="15"/>
  <c r="D152" i="15"/>
  <c r="D1486" i="21"/>
  <c r="CG30" i="9" a="1"/>
  <c r="CG30" i="9" s="1"/>
  <c r="DC13" i="19" s="1"/>
  <c r="T13" i="19"/>
  <c r="V13" i="19" s="1"/>
  <c r="CG34" i="9" a="1"/>
  <c r="CG34" i="9" s="1"/>
  <c r="DC17" i="19" s="1"/>
  <c r="T17" i="19"/>
  <c r="V17" i="19" s="1"/>
  <c r="CG54" i="9" a="1"/>
  <c r="CG54" i="9" s="1"/>
  <c r="DC37" i="19" s="1"/>
  <c r="T37" i="19"/>
  <c r="V37" i="19" s="1"/>
  <c r="CG23" i="9" a="1"/>
  <c r="CG23" i="9" s="1"/>
  <c r="DC6"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CG21" i="9" a="1"/>
  <c r="CG21" i="9" s="1"/>
  <c r="DC4" i="19" s="1"/>
  <c r="T4" i="19"/>
  <c r="V4" i="19" s="1"/>
  <c r="CG25" i="9" a="1"/>
  <c r="CG25" i="9" s="1"/>
  <c r="DC8"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CG22" i="9" a="1"/>
  <c r="CG22" i="9" s="1"/>
  <c r="DC5" i="19" s="1"/>
  <c r="T5" i="19"/>
  <c r="V5" i="19" s="1"/>
  <c r="CG26" i="9" a="1"/>
  <c r="CG26" i="9" s="1"/>
  <c r="DC9" i="19" s="1"/>
  <c r="T9" i="19"/>
  <c r="V9" i="19" s="1"/>
  <c r="CG42" i="9" a="1"/>
  <c r="CG42" i="9" s="1"/>
  <c r="DC25" i="19" s="1"/>
  <c r="T25" i="19"/>
  <c r="V25" i="19" s="1"/>
  <c r="CG24" i="9" a="1"/>
  <c r="CG24" i="9" s="1"/>
  <c r="DC7"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133" i="15"/>
  <c r="D213" i="15"/>
  <c r="D272" i="15"/>
  <c r="D276" i="15"/>
  <c r="D391" i="21"/>
  <c r="D430" i="21"/>
  <c r="D535" i="21"/>
  <c r="D539" i="21"/>
  <c r="D543" i="21"/>
  <c r="D570" i="21"/>
  <c r="D574" i="21"/>
  <c r="D578" i="21"/>
  <c r="D644" i="21"/>
  <c r="D864" i="21"/>
  <c r="D876" i="21"/>
  <c r="D129" i="15"/>
  <c r="D640" i="22"/>
  <c r="D1648" i="22"/>
  <c r="D1644" i="22"/>
  <c r="D1635" i="22"/>
  <c r="D108" i="22"/>
  <c r="D204" i="22"/>
  <c r="D200" i="22"/>
  <c r="D196" i="22"/>
  <c r="D192" i="22"/>
  <c r="D188" i="22"/>
  <c r="D466" i="22"/>
  <c r="D454" i="22"/>
  <c r="D1363" i="22"/>
  <c r="D1784" i="22"/>
  <c r="D1780" i="22"/>
  <c r="D1772" i="22"/>
  <c r="D298" i="21"/>
  <c r="D518" i="21"/>
  <c r="D530" i="21"/>
  <c r="D793" i="21"/>
  <c r="D797" i="21"/>
  <c r="D809" i="21"/>
  <c r="D813" i="21"/>
  <c r="D863" i="21"/>
  <c r="D875" i="21"/>
  <c r="D879" i="21"/>
  <c r="D883" i="21"/>
  <c r="D887" i="21"/>
  <c r="D902" i="21"/>
  <c r="D914" i="21"/>
  <c r="D1184" i="21"/>
  <c r="D1188" i="21"/>
  <c r="D1494" i="21"/>
  <c r="D1509" i="21"/>
  <c r="D1529" i="21"/>
  <c r="D1604" i="21"/>
  <c r="D1640" i="21"/>
  <c r="D261" i="15"/>
  <c r="D330" i="15"/>
  <c r="D42" i="21"/>
  <c r="D595" i="21"/>
  <c r="D603" i="21"/>
  <c r="D619" i="21"/>
  <c r="D638" i="21"/>
  <c r="D988" i="21"/>
  <c r="D1096" i="21"/>
  <c r="D1170" i="21"/>
  <c r="D1174" i="21"/>
  <c r="D1178" i="21"/>
  <c r="D1223" i="21"/>
  <c r="D1227" i="21"/>
  <c r="D1262" i="21"/>
  <c r="D1266" i="21"/>
  <c r="D1622" i="21"/>
  <c r="D70" i="15"/>
  <c r="D91" i="15"/>
  <c r="D143" i="15"/>
  <c r="D147" i="15"/>
  <c r="D155" i="15"/>
  <c r="D163" i="15"/>
  <c r="D186" i="15"/>
  <c r="D190" i="15"/>
  <c r="D59" i="13"/>
  <c r="D437" i="14"/>
  <c r="D589" i="14"/>
  <c r="D201" i="14"/>
  <c r="D193" i="14"/>
  <c r="D185" i="14"/>
  <c r="D177" i="14"/>
  <c r="D543" i="14"/>
  <c r="D50" i="15"/>
  <c r="D69" i="15"/>
  <c r="D138" i="15"/>
  <c r="D146" i="15"/>
  <c r="D150" i="15"/>
  <c r="D162" i="15"/>
  <c r="D173" i="15"/>
  <c r="D185" i="15"/>
  <c r="D209" i="15"/>
  <c r="D250" i="15"/>
  <c r="D35" i="13"/>
  <c r="D75" i="13"/>
  <c r="D678" i="14"/>
  <c r="D674" i="14"/>
  <c r="D22" i="15"/>
  <c r="D30" i="15"/>
  <c r="D211" i="15"/>
  <c r="D553" i="21"/>
  <c r="D557" i="21"/>
  <c r="D1552" i="21"/>
  <c r="D1567" i="21"/>
  <c r="D1695" i="21"/>
  <c r="D1707" i="21"/>
  <c r="D1720" i="21"/>
  <c r="D166" i="5"/>
  <c r="D262" i="15"/>
  <c r="D267" i="15"/>
  <c r="D324" i="15"/>
  <c r="D1843" i="22"/>
  <c r="D394" i="22"/>
  <c r="D527" i="22"/>
  <c r="D1358" i="22"/>
  <c r="D28" i="21"/>
  <c r="D32" i="21"/>
  <c r="D585" i="21"/>
  <c r="D606" i="21"/>
  <c r="D618" i="21"/>
  <c r="D623" i="21"/>
  <c r="D722" i="21"/>
  <c r="D798" i="21"/>
  <c r="D918" i="21"/>
  <c r="D980" i="21"/>
  <c r="D1002" i="21"/>
  <c r="D1192" i="21"/>
  <c r="D1597" i="21"/>
  <c r="D1698" i="21"/>
  <c r="D1792" i="22"/>
  <c r="D1047" i="21"/>
  <c r="D1369" i="21"/>
  <c r="D1373" i="21"/>
  <c r="D1377" i="21"/>
  <c r="D1382" i="21"/>
  <c r="D1408" i="21"/>
  <c r="D1456" i="21"/>
  <c r="D294" i="15"/>
  <c r="D302" i="15"/>
  <c r="D306" i="15"/>
  <c r="D325" i="15"/>
  <c r="D408" i="22"/>
  <c r="D952" i="22"/>
  <c r="D948" i="22"/>
  <c r="D944" i="22"/>
  <c r="D1191" i="22"/>
  <c r="D1175" i="22"/>
  <c r="D1345" i="22"/>
  <c r="D1458" i="22"/>
  <c r="D157" i="21"/>
  <c r="D165" i="21"/>
  <c r="D522" i="21"/>
  <c r="D688" i="21"/>
  <c r="D692" i="21"/>
  <c r="D782" i="21"/>
  <c r="D880" i="21"/>
  <c r="D884" i="21"/>
  <c r="D959" i="21"/>
  <c r="D983" i="21"/>
  <c r="D991" i="21"/>
  <c r="D1127" i="21"/>
  <c r="D1435" i="21"/>
  <c r="D1443" i="21"/>
  <c r="D1451" i="21"/>
  <c r="D1478" i="21"/>
  <c r="D1595" i="21"/>
  <c r="D30" i="13"/>
  <c r="D43" i="13"/>
  <c r="D48" i="13"/>
  <c r="D62" i="13"/>
  <c r="D67" i="13"/>
  <c r="D78" i="13"/>
  <c r="D86" i="13"/>
  <c r="D97" i="13"/>
  <c r="D105" i="13"/>
  <c r="D112" i="13"/>
  <c r="D113" i="13"/>
  <c r="D118" i="13"/>
  <c r="D126" i="13"/>
  <c r="D506" i="14"/>
  <c r="D695" i="14"/>
  <c r="D673" i="14"/>
  <c r="D24" i="15"/>
  <c r="D29" i="15"/>
  <c r="D52" i="15"/>
  <c r="D68" i="15"/>
  <c r="D96" i="15"/>
  <c r="D113" i="15"/>
  <c r="D114" i="15"/>
  <c r="D203" i="15"/>
  <c r="D204" i="15"/>
  <c r="D205" i="15"/>
  <c r="D231" i="15"/>
  <c r="D96" i="13"/>
  <c r="D104" i="13"/>
  <c r="D151" i="14"/>
  <c r="D143" i="14"/>
  <c r="D234" i="14"/>
  <c r="D490" i="14"/>
  <c r="D679" i="14"/>
  <c r="D44" i="15"/>
  <c r="D22" i="13"/>
  <c r="D26" i="13"/>
  <c r="D46" i="13"/>
  <c r="D58" i="13"/>
  <c r="D74" i="13"/>
  <c r="D165" i="14"/>
  <c r="D243" i="14"/>
  <c r="D239" i="14"/>
  <c r="D235" i="14"/>
  <c r="D501" i="14"/>
  <c r="D497" i="14"/>
  <c r="D527" i="14"/>
  <c r="D519" i="14"/>
  <c r="D686" i="14"/>
  <c r="D180" i="15"/>
  <c r="D200" i="15"/>
  <c r="D252" i="15"/>
  <c r="D1767" i="22"/>
  <c r="D1643" i="22"/>
  <c r="D1759" i="22"/>
  <c r="D1734" i="22"/>
  <c r="D1791" i="22"/>
  <c r="D52" i="21"/>
  <c r="D67" i="21"/>
  <c r="D75" i="21"/>
  <c r="D149" i="21"/>
  <c r="D174" i="21"/>
  <c r="D218" i="21"/>
  <c r="D276" i="21"/>
  <c r="D314" i="21"/>
  <c r="D340" i="21"/>
  <c r="D386" i="21"/>
  <c r="D405" i="21"/>
  <c r="D499" i="21"/>
  <c r="D503" i="21"/>
  <c r="D253" i="22"/>
  <c r="D470" i="22"/>
  <c r="D458" i="22"/>
  <c r="D450" i="22"/>
  <c r="D564" i="22"/>
  <c r="D732" i="22"/>
  <c r="D1587" i="21"/>
  <c r="D256" i="15"/>
  <c r="D279" i="15"/>
  <c r="D82" i="22"/>
  <c r="D432" i="22"/>
  <c r="D416" i="22"/>
  <c r="D565" i="22"/>
  <c r="D648" i="22"/>
  <c r="D717" i="22"/>
  <c r="D709" i="22"/>
  <c r="D813" i="22"/>
  <c r="D959" i="22"/>
  <c r="D1269" i="22"/>
  <c r="D1265" i="22"/>
  <c r="D1287" i="22"/>
  <c r="D1279" i="22"/>
  <c r="D1632" i="22"/>
  <c r="D1628"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7" i="21"/>
  <c r="D785" i="21"/>
  <c r="D801" i="21"/>
  <c r="D519" i="21"/>
  <c r="D523" i="21"/>
  <c r="D527" i="21"/>
  <c r="D569" i="21"/>
  <c r="D573" i="21"/>
  <c r="D673" i="21"/>
  <c r="D724" i="21"/>
  <c r="D775" i="21"/>
  <c r="D789" i="21"/>
  <c r="D790" i="21"/>
  <c r="D794" i="21"/>
  <c r="D805" i="21"/>
  <c r="D806" i="21"/>
  <c r="D810" i="21"/>
  <c r="D840" i="21"/>
  <c r="D1381" i="21"/>
  <c r="D1393" i="21"/>
  <c r="D1416" i="21"/>
  <c r="D1522" i="21"/>
  <c r="D1530" i="21"/>
  <c r="D1581" i="21"/>
  <c r="D1588" i="21"/>
  <c r="D1704" i="21"/>
  <c r="D1714" i="21"/>
  <c r="D243" i="5"/>
  <c r="D128" i="18"/>
  <c r="D962" i="21"/>
  <c r="D1056" i="21"/>
  <c r="D1071" i="21"/>
  <c r="D1075" i="21"/>
  <c r="D1224" i="21"/>
  <c r="D1343" i="21"/>
  <c r="D1344" i="21"/>
  <c r="D1359" i="21"/>
  <c r="D128" i="5"/>
  <c r="D205" i="5"/>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80" i="21"/>
  <c r="D1725" i="21"/>
  <c r="D292" i="14"/>
  <c r="D456" i="14"/>
  <c r="D440" i="14"/>
  <c r="D71" i="15"/>
  <c r="D210" i="15"/>
  <c r="D212" i="15"/>
  <c r="D109" i="22"/>
  <c r="D101" i="22"/>
  <c r="D252" i="22"/>
  <c r="D83" i="13"/>
  <c r="D91" i="13"/>
  <c r="D102" i="13"/>
  <c r="D110" i="13"/>
  <c r="D121" i="13"/>
  <c r="D125" i="13"/>
  <c r="D209" i="14"/>
  <c r="D167" i="14"/>
  <c r="D149" i="14"/>
  <c r="D231" i="14"/>
  <c r="D329" i="14"/>
  <c r="D383" i="14"/>
  <c r="D379" i="14"/>
  <c r="D367" i="14"/>
  <c r="D509" i="14"/>
  <c r="D498" i="14"/>
  <c r="D493" i="14"/>
  <c r="D568" i="14"/>
  <c r="D563" i="14"/>
  <c r="D633" i="14"/>
  <c r="D687" i="14"/>
  <c r="D682" i="14"/>
  <c r="D680" i="14"/>
  <c r="D196" i="15"/>
  <c r="D348" i="15"/>
  <c r="D352" i="15"/>
  <c r="D90" i="22"/>
  <c r="D467" i="22"/>
  <c r="D443" i="22"/>
  <c r="D561" i="22"/>
  <c r="D632" i="22"/>
  <c r="D28" i="13"/>
  <c r="D29" i="13"/>
  <c r="D42" i="13"/>
  <c r="D47" i="13"/>
  <c r="D50" i="13"/>
  <c r="D159" i="14"/>
  <c r="D141" i="14"/>
  <c r="D290"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48" i="15"/>
  <c r="D266" i="15"/>
  <c r="D268" i="15"/>
  <c r="D271" i="15"/>
  <c r="D297" i="15"/>
  <c r="D301" i="15"/>
  <c r="D329" i="15"/>
  <c r="D350" i="15"/>
  <c r="D513" i="22"/>
  <c r="D91" i="22"/>
  <c r="D83" i="22"/>
  <c r="D121" i="22"/>
  <c r="D155" i="22"/>
  <c r="D147" i="22"/>
  <c r="D139" i="22"/>
  <c r="D428" i="22"/>
  <c r="D420" i="22"/>
  <c r="D412" i="22"/>
  <c r="D402" i="22"/>
  <c r="D456" i="22"/>
  <c r="D733" i="22"/>
  <c r="D725" i="22"/>
  <c r="D23" i="13"/>
  <c r="D44" i="13"/>
  <c r="D52" i="13"/>
  <c r="D63" i="13"/>
  <c r="D71" i="13"/>
  <c r="D79" i="13"/>
  <c r="D87" i="13"/>
  <c r="D98" i="13"/>
  <c r="D106" i="13"/>
  <c r="D114" i="13"/>
  <c r="D124" i="13"/>
  <c r="D127" i="13"/>
  <c r="D128" i="13"/>
  <c r="D129" i="13"/>
  <c r="D20" i="15"/>
  <c r="D73" i="15"/>
  <c r="D88" i="15"/>
  <c r="D104" i="15"/>
  <c r="D115" i="15"/>
  <c r="D120" i="15"/>
  <c r="D134" i="15"/>
  <c r="D136" i="15"/>
  <c r="D139" i="15"/>
  <c r="D166" i="15"/>
  <c r="D174" i="15"/>
  <c r="D175" i="15"/>
  <c r="D176" i="15"/>
  <c r="D193" i="15"/>
  <c r="D214" i="15"/>
  <c r="D225" i="15"/>
  <c r="D226" i="15"/>
  <c r="D227" i="15"/>
  <c r="D228" i="15"/>
  <c r="D229" i="15"/>
  <c r="D240" i="15"/>
  <c r="D259" i="15"/>
  <c r="D264" i="15"/>
  <c r="D292" i="15"/>
  <c r="D295" i="15"/>
  <c r="D314" i="15"/>
  <c r="D328" i="15"/>
  <c r="D345" i="15"/>
  <c r="D349" i="15"/>
  <c r="D355" i="15"/>
  <c r="D285" i="22"/>
  <c r="D1691" i="22"/>
  <c r="D60" i="22"/>
  <c r="D471" i="22"/>
  <c r="D585" i="22"/>
  <c r="D581" i="22"/>
  <c r="D577" i="22"/>
  <c r="D573" i="22"/>
  <c r="D569" i="22"/>
  <c r="D656" i="22"/>
  <c r="D655" i="22"/>
  <c r="D647" i="22"/>
  <c r="D710" i="22"/>
  <c r="D947" i="22"/>
  <c r="D937" i="22"/>
  <c r="D1188" i="22"/>
  <c r="D1307" i="22"/>
  <c r="D1286" i="22"/>
  <c r="D1278" i="22"/>
  <c r="D1354" i="22"/>
  <c r="D1640" i="22"/>
  <c r="D1636" i="22"/>
  <c r="D1627" i="22"/>
  <c r="D1750" i="22"/>
  <c r="D1742" i="22"/>
  <c r="D1797" i="22"/>
  <c r="D1292" i="22"/>
  <c r="D182" i="21"/>
  <c r="D716" i="22"/>
  <c r="D708" i="22"/>
  <c r="D963" i="22"/>
  <c r="D1180" i="22"/>
  <c r="D1299" i="22"/>
  <c r="D1294" i="22"/>
  <c r="D1362" i="22"/>
  <c r="D1357" i="22"/>
  <c r="D964" i="22"/>
  <c r="D960" i="22"/>
  <c r="D1183" i="22"/>
  <c r="D1167"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621" i="21"/>
  <c r="D622" i="21"/>
  <c r="D642" i="21"/>
  <c r="D495" i="21"/>
  <c r="D546" i="21"/>
  <c r="D565" i="21"/>
  <c r="D581" i="21"/>
  <c r="D654" i="21"/>
  <c r="D656" i="21"/>
  <c r="D657" i="21"/>
  <c r="D1783" i="22"/>
  <c r="D35" i="21"/>
  <c r="D37" i="21"/>
  <c r="D144" i="21"/>
  <c r="D160" i="21"/>
  <c r="D179" i="21"/>
  <c r="D223" i="21"/>
  <c r="D264" i="21"/>
  <c r="D277" i="21"/>
  <c r="D299" i="21"/>
  <c r="D312" i="21"/>
  <c r="D325" i="21"/>
  <c r="D344" i="21"/>
  <c r="D357" i="21"/>
  <c r="D379" i="21"/>
  <c r="D392" i="21"/>
  <c r="D423" i="21"/>
  <c r="D424" i="21"/>
  <c r="D429" i="21"/>
  <c r="D509" i="21"/>
  <c r="D528" i="21"/>
  <c r="D544" i="21"/>
  <c r="D605"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11" i="21"/>
  <c r="D1015" i="21"/>
  <c r="D1019" i="21"/>
  <c r="D1023" i="21"/>
  <c r="D1027" i="21"/>
  <c r="D1031" i="21"/>
  <c r="D1035" i="21"/>
  <c r="D1039" i="21"/>
  <c r="D1054" i="21"/>
  <c r="D1055" i="21"/>
  <c r="D1130" i="21"/>
  <c r="D1135" i="21"/>
  <c r="D1168" i="21"/>
  <c r="D1172"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167" i="18"/>
  <c r="D1517" i="21"/>
  <c r="D1524" i="21"/>
  <c r="D1525" i="21"/>
  <c r="D1533" i="21"/>
  <c r="D1541" i="21"/>
  <c r="D1545" i="21"/>
  <c r="D1549" i="21"/>
  <c r="D1553" i="21"/>
  <c r="D1559" i="21"/>
  <c r="D1589" i="21"/>
  <c r="D1596" i="21"/>
  <c r="D1624" i="21"/>
  <c r="D1630" i="21"/>
  <c r="D1631" i="21"/>
  <c r="D1632" i="21"/>
  <c r="D1639" i="21"/>
  <c r="D91" i="18"/>
  <c r="D1505" i="21"/>
  <c r="D1562" i="21"/>
  <c r="D1569" i="21"/>
  <c r="D1580" i="21"/>
  <c r="D1605" i="21"/>
  <c r="D1647" i="21"/>
  <c r="D1648" i="21"/>
  <c r="D1664" i="21"/>
  <c r="D1668" i="21"/>
  <c r="D1669" i="21"/>
  <c r="D1674" i="21"/>
  <c r="D1684" i="21"/>
  <c r="D1685" i="21"/>
  <c r="D1693" i="21"/>
  <c r="D1700" i="21"/>
  <c r="D1702" i="21"/>
  <c r="D90" i="5"/>
  <c r="D242" i="5"/>
  <c r="D184" i="15"/>
  <c r="D296" i="15"/>
  <c r="D21" i="15"/>
  <c r="D23" i="15"/>
  <c r="D31" i="15"/>
  <c r="D51" i="15"/>
  <c r="D87" i="15"/>
  <c r="D90" i="15"/>
  <c r="D98" i="15"/>
  <c r="D99" i="15"/>
  <c r="D103" i="15"/>
  <c r="D119" i="15"/>
  <c r="D149" i="15"/>
  <c r="D165" i="15"/>
  <c r="D187" i="15"/>
  <c r="D191" i="15"/>
  <c r="D194" i="15"/>
  <c r="D249" i="15"/>
  <c r="D263" i="15"/>
  <c r="D265" i="15"/>
  <c r="D273" i="15"/>
  <c r="D274" i="15"/>
  <c r="D280" i="15"/>
  <c r="D289" i="15"/>
  <c r="D290" i="15"/>
  <c r="D303" i="15"/>
  <c r="D309" i="15"/>
  <c r="D315" i="15"/>
  <c r="D331" i="15"/>
  <c r="D340" i="15"/>
  <c r="D341" i="15"/>
  <c r="D346" i="15"/>
  <c r="D353" i="15"/>
  <c r="D1729" i="22"/>
  <c r="D20" i="13"/>
  <c r="D21" i="13"/>
  <c r="D27" i="13"/>
  <c r="D36" i="13"/>
  <c r="D37" i="13"/>
  <c r="D38" i="13"/>
  <c r="D39" i="13"/>
  <c r="D40" i="13"/>
  <c r="D115" i="13"/>
  <c r="D116" i="13"/>
  <c r="D119" i="13"/>
  <c r="D120" i="13"/>
  <c r="D122" i="13"/>
  <c r="D247" i="14"/>
  <c r="D361" i="14"/>
  <c r="D551" i="14"/>
  <c r="D49" i="14"/>
  <c r="D41" i="14"/>
  <c r="D33" i="14"/>
  <c r="D124" i="14"/>
  <c r="D116" i="14"/>
  <c r="D108" i="14"/>
  <c r="D102" i="14"/>
  <c r="D163" i="14"/>
  <c r="D153" i="14"/>
  <c r="D147" i="14"/>
  <c r="D137" i="14"/>
  <c r="D240" i="14"/>
  <c r="D279" i="14"/>
  <c r="D271" i="14"/>
  <c r="D263" i="14"/>
  <c r="D255" i="14"/>
  <c r="D393" i="14"/>
  <c r="D382" i="14"/>
  <c r="D372" i="14"/>
  <c r="D366" i="14"/>
  <c r="D431" i="14"/>
  <c r="D423" i="14"/>
  <c r="D415" i="14"/>
  <c r="D479" i="14"/>
  <c r="D534" i="14"/>
  <c r="D533" i="14"/>
  <c r="D580" i="14"/>
  <c r="D575" i="14"/>
  <c r="D564" i="14"/>
  <c r="D618" i="14"/>
  <c r="D610" i="14"/>
  <c r="D602" i="14"/>
  <c r="D600" i="14"/>
  <c r="D592" i="14"/>
  <c r="D654" i="14"/>
  <c r="D646" i="14"/>
  <c r="D638" i="14"/>
  <c r="D691" i="14"/>
  <c r="D683" i="14"/>
  <c r="D32" i="15"/>
  <c r="D41" i="13"/>
  <c r="D45" i="13"/>
  <c r="D49" i="13"/>
  <c r="D53" i="13"/>
  <c r="D60" i="13"/>
  <c r="D64" i="13"/>
  <c r="D68" i="13"/>
  <c r="D72" i="13"/>
  <c r="D76" i="13"/>
  <c r="D80" i="13"/>
  <c r="D84" i="13"/>
  <c r="D88" i="13"/>
  <c r="D99" i="13"/>
  <c r="D103" i="13"/>
  <c r="D107" i="13"/>
  <c r="D111" i="13"/>
  <c r="D171" i="14"/>
  <c r="D27" i="14"/>
  <c r="D448" i="14"/>
  <c r="D502" i="14"/>
  <c r="D494" i="14"/>
  <c r="D576" i="14"/>
  <c r="D571" i="14"/>
  <c r="D619" i="14"/>
  <c r="D611" i="14"/>
  <c r="D603" i="14"/>
  <c r="D632" i="14"/>
  <c r="D733" i="14"/>
  <c r="D28" i="15"/>
  <c r="D35" i="15"/>
  <c r="D37" i="15"/>
  <c r="D38" i="15"/>
  <c r="D42" i="15"/>
  <c r="D43" i="15"/>
  <c r="D65" i="15"/>
  <c r="D82" i="15"/>
  <c r="D107" i="15"/>
  <c r="D123" i="15"/>
  <c r="D137" i="15"/>
  <c r="D140" i="15"/>
  <c r="D141" i="15"/>
  <c r="D142" i="15"/>
  <c r="D153" i="15"/>
  <c r="D156" i="15"/>
  <c r="D157" i="15"/>
  <c r="D158" i="15"/>
  <c r="D172" i="15"/>
  <c r="D179" i="15"/>
  <c r="D188" i="15"/>
  <c r="D192" i="15"/>
  <c r="D198" i="15"/>
  <c r="D201" i="15"/>
  <c r="D202" i="15"/>
  <c r="D223" i="15"/>
  <c r="D239" i="15"/>
  <c r="D254" i="15"/>
  <c r="D255" i="15"/>
  <c r="D257" i="15"/>
  <c r="D258" i="15"/>
  <c r="D260" i="15"/>
  <c r="D270" i="15"/>
  <c r="D277" i="15"/>
  <c r="D278" i="15"/>
  <c r="D287" i="15"/>
  <c r="D288" i="15"/>
  <c r="D293" i="15"/>
  <c r="D299" i="15"/>
  <c r="D300" i="15"/>
  <c r="D305" i="15"/>
  <c r="D311" i="15"/>
  <c r="D312" i="15"/>
  <c r="D313" i="15"/>
  <c r="D319" i="15"/>
  <c r="D327" i="15"/>
  <c r="D334" i="15"/>
  <c r="D335" i="15"/>
  <c r="D343" i="15"/>
  <c r="D344" i="15"/>
  <c r="D25" i="13"/>
  <c r="D31" i="13"/>
  <c r="D32" i="13"/>
  <c r="D61" i="13"/>
  <c r="D65" i="13"/>
  <c r="D69" i="13"/>
  <c r="D73" i="13"/>
  <c r="D77" i="13"/>
  <c r="D81" i="13"/>
  <c r="D85" i="13"/>
  <c r="D89" i="13"/>
  <c r="D117" i="13"/>
  <c r="D57" i="14"/>
  <c r="D475" i="14"/>
  <c r="D53" i="14"/>
  <c r="D45" i="14"/>
  <c r="D37" i="14"/>
  <c r="D128" i="14"/>
  <c r="D120" i="14"/>
  <c r="D112" i="14"/>
  <c r="D161" i="14"/>
  <c r="D155" i="14"/>
  <c r="D145" i="14"/>
  <c r="D139" i="14"/>
  <c r="D200" i="14"/>
  <c r="D199" i="14"/>
  <c r="D192" i="14"/>
  <c r="D191" i="14"/>
  <c r="D184" i="14"/>
  <c r="D183" i="14"/>
  <c r="D176" i="14"/>
  <c r="D174" i="14"/>
  <c r="D236" i="14"/>
  <c r="D225" i="14"/>
  <c r="D217" i="14"/>
  <c r="D289" i="14"/>
  <c r="D388" i="14"/>
  <c r="D369" i="14"/>
  <c r="D427" i="14"/>
  <c r="D419" i="14"/>
  <c r="D487" i="14"/>
  <c r="D542" i="14"/>
  <c r="D541" i="14"/>
  <c r="D526" i="14"/>
  <c r="D518" i="14"/>
  <c r="D583" i="14"/>
  <c r="D572" i="14"/>
  <c r="D567" i="14"/>
  <c r="D658" i="14"/>
  <c r="D650" i="14"/>
  <c r="D642" i="14"/>
  <c r="D26" i="15"/>
  <c r="D27" i="15"/>
  <c r="D33" i="15"/>
  <c r="D34" i="15"/>
  <c r="D36" i="15"/>
  <c r="D39" i="15"/>
  <c r="D40" i="15"/>
  <c r="D41" i="15"/>
  <c r="D45" i="15"/>
  <c r="D46" i="15"/>
  <c r="D59" i="15"/>
  <c r="D60" i="15"/>
  <c r="D61" i="15"/>
  <c r="D62" i="15"/>
  <c r="D63" i="15"/>
  <c r="D64" i="15"/>
  <c r="D74" i="15"/>
  <c r="D75" i="15"/>
  <c r="D76" i="15"/>
  <c r="D77" i="15"/>
  <c r="D79" i="15"/>
  <c r="D80" i="15"/>
  <c r="D81" i="15"/>
  <c r="D84" i="15"/>
  <c r="D85" i="15"/>
  <c r="D86" i="15"/>
  <c r="D100" i="15"/>
  <c r="D101" i="15"/>
  <c r="D102" i="15"/>
  <c r="D112" i="15"/>
  <c r="D116" i="15"/>
  <c r="D117" i="15"/>
  <c r="D118" i="15"/>
  <c r="D128" i="15"/>
  <c r="D135" i="15"/>
  <c r="D151" i="15"/>
  <c r="D177" i="15"/>
  <c r="D178" i="15"/>
  <c r="D181" i="15"/>
  <c r="D182" i="15"/>
  <c r="D183" i="15"/>
  <c r="D195" i="15"/>
  <c r="D217" i="15"/>
  <c r="D218" i="15"/>
  <c r="D219" i="15"/>
  <c r="D220" i="15"/>
  <c r="D221" i="15"/>
  <c r="D233" i="15"/>
  <c r="D234" i="15"/>
  <c r="D235" i="15"/>
  <c r="D236" i="15"/>
  <c r="D237" i="15"/>
  <c r="D275" i="15"/>
  <c r="D286" i="15"/>
  <c r="D291" i="15"/>
  <c r="D298" i="15"/>
  <c r="D310" i="15"/>
  <c r="D317" i="15"/>
  <c r="D318" i="15"/>
  <c r="D326" i="15"/>
  <c r="D333" i="15"/>
  <c r="D342" i="15"/>
  <c r="D347" i="15"/>
  <c r="D657" i="22"/>
  <c r="D649" i="22"/>
  <c r="D641" i="22"/>
  <c r="D734" i="22"/>
  <c r="D718" i="22"/>
  <c r="D807" i="22"/>
  <c r="D356" i="15"/>
  <c r="D1349" i="22"/>
  <c r="D75" i="22"/>
  <c r="D67" i="22"/>
  <c r="D115" i="22"/>
  <c r="D103" i="22"/>
  <c r="D162" i="22"/>
  <c r="D161" i="22"/>
  <c r="D154" i="22"/>
  <c r="D153" i="22"/>
  <c r="D146" i="22"/>
  <c r="D145" i="22"/>
  <c r="D138" i="22"/>
  <c r="D137" i="22"/>
  <c r="D203" i="22"/>
  <c r="D195" i="22"/>
  <c r="D187" i="22"/>
  <c r="D179" i="22"/>
  <c r="D357" i="22"/>
  <c r="D459" i="22"/>
  <c r="D528" i="22"/>
  <c r="D520" i="22"/>
  <c r="D559" i="22"/>
  <c r="D88" i="22"/>
  <c r="D80" i="22"/>
  <c r="D126" i="22"/>
  <c r="D254" i="22"/>
  <c r="D316" i="22"/>
  <c r="D308" i="22"/>
  <c r="D300" i="22"/>
  <c r="D292" i="22"/>
  <c r="D460" i="22"/>
  <c r="D452" i="22"/>
  <c r="D633" i="22"/>
  <c r="D726" i="22"/>
  <c r="D822" i="22"/>
  <c r="D53" i="22"/>
  <c r="D71" i="22"/>
  <c r="D120" i="22"/>
  <c r="D107" i="22"/>
  <c r="D100" i="22"/>
  <c r="D199" i="22"/>
  <c r="D191" i="22"/>
  <c r="D465" i="22"/>
  <c r="D455" i="22"/>
  <c r="D442" i="22"/>
  <c r="D441" i="22"/>
  <c r="D562" i="22"/>
  <c r="D795" i="22"/>
  <c r="D787" i="22"/>
  <c r="D1284" i="22"/>
  <c r="D1276" i="22"/>
  <c r="D1687" i="22"/>
  <c r="D1758" i="22"/>
  <c r="D1735" i="22"/>
  <c r="D1798" i="22"/>
  <c r="D1875" i="22"/>
  <c r="D1859" i="22"/>
  <c r="D26" i="21"/>
  <c r="D27" i="21"/>
  <c r="D33" i="21"/>
  <c r="D40" i="21"/>
  <c r="D43" i="21"/>
  <c r="D45" i="21"/>
  <c r="D956" i="22"/>
  <c r="D955" i="22"/>
  <c r="D1040" i="22"/>
  <c r="D1154" i="22"/>
  <c r="D1192" i="22"/>
  <c r="D1184" i="22"/>
  <c r="D1176" i="22"/>
  <c r="D1168" i="22"/>
  <c r="D61" i="21"/>
  <c r="D69" i="21"/>
  <c r="D77" i="21"/>
  <c r="D85" i="21"/>
  <c r="D104" i="21"/>
  <c r="D112" i="21"/>
  <c r="D120" i="21"/>
  <c r="D128" i="21"/>
  <c r="D187" i="21"/>
  <c r="D191" i="21"/>
  <c r="D214" i="21"/>
  <c r="D271" i="21"/>
  <c r="D279" i="21"/>
  <c r="D306" i="21"/>
  <c r="D926" i="22"/>
  <c r="D951" i="22"/>
  <c r="D1187" i="22"/>
  <c r="D1179" i="22"/>
  <c r="D1171" i="22"/>
  <c r="D1163" i="22"/>
  <c r="D1261" i="22"/>
  <c r="D1245" i="22"/>
  <c r="D1364" i="22"/>
  <c r="D1647" i="22"/>
  <c r="D1639" i="22"/>
  <c r="D1631" i="22"/>
  <c r="D1695" i="22"/>
  <c r="D1743" i="22"/>
  <c r="D1787" i="22"/>
  <c r="D1774" i="22"/>
  <c r="D1867" i="22"/>
  <c r="D24" i="21"/>
  <c r="D38" i="21"/>
  <c r="D50" i="21"/>
  <c r="D242" i="21"/>
  <c r="D1117" i="22"/>
  <c r="D1172" i="22"/>
  <c r="D1164" i="22"/>
  <c r="D1257" i="22"/>
  <c r="D1303" i="22"/>
  <c r="D1361" i="22"/>
  <c r="D1353" i="22"/>
  <c r="D1732" i="22"/>
  <c r="D1794" i="22"/>
  <c r="D148" i="21"/>
  <c r="D164" i="21"/>
  <c r="D227" i="21"/>
  <c r="D255" i="21"/>
  <c r="D263" i="21"/>
  <c r="D290" i="21"/>
  <c r="D327" i="21"/>
  <c r="D343" i="21"/>
  <c r="D378" i="21"/>
  <c r="D394" i="21"/>
  <c r="D415" i="21"/>
  <c r="D427" i="21"/>
  <c r="D439" i="21"/>
  <c r="D447" i="21"/>
  <c r="D455" i="21"/>
  <c r="D592" i="21"/>
  <c r="D608" i="21"/>
  <c r="D660" i="21"/>
  <c r="D670" i="21"/>
  <c r="D691" i="21"/>
  <c r="D698" i="21"/>
  <c r="D837" i="21"/>
  <c r="D845" i="21"/>
  <c r="D860" i="21"/>
  <c r="D555" i="21"/>
  <c r="D563" i="21"/>
  <c r="D571" i="21"/>
  <c r="D579" i="21"/>
  <c r="D748" i="21"/>
  <c r="D756" i="21"/>
  <c r="D764" i="21"/>
  <c r="D772" i="21"/>
  <c r="D783" i="21"/>
  <c r="D791" i="21"/>
  <c r="D799" i="21"/>
  <c r="D807"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9" i="21"/>
  <c r="D940" i="21"/>
  <c r="D947" i="21"/>
  <c r="D948" i="21"/>
  <c r="D979" i="21"/>
  <c r="D995" i="21"/>
  <c r="D1012" i="21"/>
  <c r="D1020" i="21"/>
  <c r="D1028" i="21"/>
  <c r="D1036" i="21"/>
  <c r="D1124" i="21"/>
  <c r="D1132" i="21"/>
  <c r="D1140" i="21"/>
  <c r="D1148" i="21"/>
  <c r="D1176" i="21"/>
  <c r="D897" i="21"/>
  <c r="D961"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6" i="21"/>
  <c r="D1322" i="21"/>
  <c r="D1332" i="21"/>
  <c r="D1338" i="21"/>
  <c r="D1345" i="21"/>
  <c r="D1352" i="21"/>
  <c r="D1355" i="21"/>
  <c r="D1363" i="21"/>
  <c r="D1391" i="21"/>
  <c r="D1392" i="21"/>
  <c r="D1399" i="21"/>
  <c r="D1400" i="21"/>
  <c r="D1407" i="21"/>
  <c r="D1415" i="21"/>
  <c r="D1186"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1185" i="21"/>
  <c r="D1190" i="21"/>
  <c r="D1229" i="21"/>
  <c r="D1238" i="21"/>
  <c r="D1241" i="21"/>
  <c r="D1242" i="21"/>
  <c r="D1289" i="21"/>
  <c r="D1295" i="21"/>
  <c r="D1305" i="21"/>
  <c r="D1314" i="21"/>
  <c r="D1324" i="21"/>
  <c r="D1330" i="21"/>
  <c r="D1340" i="21"/>
  <c r="D1367" i="21"/>
  <c r="D1375" i="21"/>
  <c r="D1383"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1496" i="21"/>
  <c r="D1526" i="21"/>
  <c r="D167" i="5"/>
  <c r="D1480" i="21"/>
  <c r="D1641" i="21"/>
  <c r="D1649" i="21"/>
  <c r="D1655" i="21"/>
  <c r="D1663" i="21"/>
  <c r="D1667" i="21"/>
  <c r="D1673" i="21"/>
  <c r="D1678" i="21"/>
  <c r="D1683" i="21"/>
  <c r="D1694" i="21"/>
  <c r="D1703" i="21"/>
  <c r="D1706" i="21"/>
  <c r="D1712" i="21"/>
  <c r="D1715" i="21"/>
  <c r="D1724" i="21"/>
  <c r="D53" i="5"/>
  <c r="D129" i="5"/>
  <c r="D1510" i="21"/>
  <c r="D1518" i="21"/>
  <c r="D1534" i="21"/>
  <c r="D1544" i="21"/>
  <c r="D1548" i="21"/>
  <c r="D1676" i="21"/>
  <c r="D1677" i="21"/>
  <c r="D1701" i="21"/>
  <c r="D53" i="18"/>
  <c r="D205" i="18"/>
  <c r="D204" i="5"/>
  <c r="D52" i="18"/>
  <c r="D90" i="18"/>
  <c r="D166" i="18"/>
  <c r="E1881" i="22"/>
  <c r="D33" i="13"/>
  <c r="D95" i="14"/>
  <c r="D47" i="15"/>
  <c r="D48" i="15"/>
  <c r="D78" i="15"/>
  <c r="D83" i="15"/>
  <c r="D105" i="15"/>
  <c r="D106" i="15"/>
  <c r="D121" i="15"/>
  <c r="D122" i="15"/>
  <c r="D197" i="15"/>
  <c r="D222" i="15"/>
  <c r="D238" i="15"/>
  <c r="D253" i="15"/>
  <c r="D269" i="15"/>
  <c r="D351" i="15"/>
  <c r="D24" i="13"/>
  <c r="D123" i="13"/>
  <c r="D399" i="14"/>
  <c r="D627" i="14"/>
  <c r="D25" i="15"/>
  <c r="D58" i="15"/>
  <c r="D97" i="15"/>
  <c r="D145" i="15"/>
  <c r="D148" i="15"/>
  <c r="D161" i="15"/>
  <c r="D164" i="15"/>
  <c r="D216" i="15"/>
  <c r="D232" i="15"/>
  <c r="D251" i="15"/>
  <c r="D281" i="15"/>
  <c r="D316" i="15"/>
  <c r="D469" i="14"/>
  <c r="D486" i="14"/>
  <c r="D532" i="14"/>
  <c r="D516" i="14"/>
  <c r="D582" i="14"/>
  <c r="D578" i="14"/>
  <c r="D574" i="14"/>
  <c r="D570" i="14"/>
  <c r="D554"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3" i="9" a="1"/>
  <c r="CQ23" i="9" s="1"/>
  <c r="CM23" i="9" a="1"/>
  <c r="CM23" i="9" s="1"/>
  <c r="CI23" i="9" a="1"/>
  <c r="CI23" i="9" s="1"/>
  <c r="CD23" i="9" a="1"/>
  <c r="CD23" i="9" s="1"/>
  <c r="BZ23" i="9" a="1"/>
  <c r="BZ23" i="9" s="1"/>
  <c r="BV23" i="9" a="1"/>
  <c r="BV23" i="9" s="1"/>
  <c r="BR23" i="9" a="1"/>
  <c r="BR23" i="9" s="1"/>
  <c r="BN23" i="9" a="1"/>
  <c r="BN23" i="9" s="1"/>
  <c r="BJ23" i="9" a="1"/>
  <c r="BJ23" i="9" s="1"/>
  <c r="BF23" i="9" a="1"/>
  <c r="BF23" i="9" s="1"/>
  <c r="BB23" i="9" a="1"/>
  <c r="BB23" i="9" s="1"/>
  <c r="AX23" i="9" a="1"/>
  <c r="AX23" i="9" s="1"/>
  <c r="AT23" i="9" a="1"/>
  <c r="AT23" i="9" s="1"/>
  <c r="AP23" i="9" a="1"/>
  <c r="AP23" i="9" s="1"/>
  <c r="AL23" i="9" a="1"/>
  <c r="AL23" i="9" s="1"/>
  <c r="AH23" i="9" a="1"/>
  <c r="AH23" i="9" s="1"/>
  <c r="AD23" i="9" a="1"/>
  <c r="AD23" i="9" s="1"/>
  <c r="Z23" i="9" a="1"/>
  <c r="Z23" i="9" s="1"/>
  <c r="V23" i="9" a="1"/>
  <c r="V23" i="9" s="1"/>
  <c r="R23" i="9" a="1"/>
  <c r="R23" i="9" s="1"/>
  <c r="N23" i="9" a="1"/>
  <c r="N23" i="9" s="1"/>
  <c r="J23" i="9" a="1"/>
  <c r="J23" i="9" s="1"/>
  <c r="F23" i="9" a="1"/>
  <c r="F23" i="9" s="1"/>
  <c r="CP23" i="9" a="1"/>
  <c r="CP23" i="9" s="1"/>
  <c r="CL23" i="9" a="1"/>
  <c r="CL23" i="9" s="1"/>
  <c r="CH23" i="9" a="1"/>
  <c r="CH23" i="9" s="1"/>
  <c r="CC23" i="9" a="1"/>
  <c r="CC23" i="9" s="1"/>
  <c r="BY23" i="9" a="1"/>
  <c r="BY23" i="9" s="1"/>
  <c r="BU23" i="9" a="1"/>
  <c r="BU23" i="9" s="1"/>
  <c r="BQ23" i="9" a="1"/>
  <c r="BQ23" i="9" s="1"/>
  <c r="BM23" i="9" a="1"/>
  <c r="BM23" i="9" s="1"/>
  <c r="BI23" i="9" a="1"/>
  <c r="BI23" i="9" s="1"/>
  <c r="BE23" i="9" a="1"/>
  <c r="BE23" i="9" s="1"/>
  <c r="BA23" i="9" a="1"/>
  <c r="BA23" i="9" s="1"/>
  <c r="AW23" i="9" a="1"/>
  <c r="AW23" i="9" s="1"/>
  <c r="AS23" i="9" a="1"/>
  <c r="AS23" i="9" s="1"/>
  <c r="AO23" i="9" a="1"/>
  <c r="AO23" i="9" s="1"/>
  <c r="AK23" i="9" a="1"/>
  <c r="AK23" i="9" s="1"/>
  <c r="AG23" i="9" a="1"/>
  <c r="AG23" i="9" s="1"/>
  <c r="AC23" i="9" a="1"/>
  <c r="AC23" i="9" s="1"/>
  <c r="Y23" i="9" a="1"/>
  <c r="Y23" i="9" s="1"/>
  <c r="U23" i="9" a="1"/>
  <c r="U23" i="9" s="1"/>
  <c r="Q23" i="9" a="1"/>
  <c r="Q23" i="9" s="1"/>
  <c r="M23" i="9" a="1"/>
  <c r="M23" i="9" s="1"/>
  <c r="I23" i="9" a="1"/>
  <c r="I23" i="9" s="1"/>
  <c r="E23" i="9" a="1"/>
  <c r="E23" i="9" s="1"/>
  <c r="CR23" i="9" a="1"/>
  <c r="CR23" i="9" s="1"/>
  <c r="CJ23" i="9" a="1"/>
  <c r="CJ23" i="9" s="1"/>
  <c r="CA23" i="9" a="1"/>
  <c r="CA23" i="9" s="1"/>
  <c r="BS23" i="9" a="1"/>
  <c r="BS23" i="9" s="1"/>
  <c r="BK23" i="9" a="1"/>
  <c r="BK23" i="9" s="1"/>
  <c r="BC23" i="9" a="1"/>
  <c r="BC23" i="9" s="1"/>
  <c r="AU23" i="9" a="1"/>
  <c r="AU23" i="9" s="1"/>
  <c r="AM23" i="9" a="1"/>
  <c r="AM23" i="9" s="1"/>
  <c r="AE23" i="9" a="1"/>
  <c r="AE23" i="9" s="1"/>
  <c r="W23" i="9" a="1"/>
  <c r="W23" i="9" s="1"/>
  <c r="O23" i="9" a="1"/>
  <c r="O23" i="9" s="1"/>
  <c r="G23" i="9" a="1"/>
  <c r="G23" i="9" s="1"/>
  <c r="CO23" i="9" a="1"/>
  <c r="CO23" i="9" s="1"/>
  <c r="CF23" i="9" a="1"/>
  <c r="CF23" i="9" s="1"/>
  <c r="BX23" i="9" a="1"/>
  <c r="BX23" i="9" s="1"/>
  <c r="BP23" i="9" a="1"/>
  <c r="BP23" i="9" s="1"/>
  <c r="BH23" i="9" a="1"/>
  <c r="BH23" i="9" s="1"/>
  <c r="AZ23" i="9" a="1"/>
  <c r="AZ23" i="9" s="1"/>
  <c r="AR23" i="9" a="1"/>
  <c r="AR23" i="9" s="1"/>
  <c r="AJ23" i="9" a="1"/>
  <c r="AJ23" i="9" s="1"/>
  <c r="AB23" i="9" a="1"/>
  <c r="AB23" i="9" s="1"/>
  <c r="T23" i="9" a="1"/>
  <c r="T23" i="9" s="1"/>
  <c r="L23" i="9" a="1"/>
  <c r="L23" i="9" s="1"/>
  <c r="CN23" i="9" a="1"/>
  <c r="CN23" i="9" s="1"/>
  <c r="CE23" i="9" a="1"/>
  <c r="CE23" i="9" s="1"/>
  <c r="BW23" i="9" a="1"/>
  <c r="BW23" i="9" s="1"/>
  <c r="BO23" i="9" a="1"/>
  <c r="BO23" i="9" s="1"/>
  <c r="BG23" i="9" a="1"/>
  <c r="BG23" i="9" s="1"/>
  <c r="AY23" i="9" a="1"/>
  <c r="AY23" i="9" s="1"/>
  <c r="AQ23" i="9" a="1"/>
  <c r="AQ23" i="9" s="1"/>
  <c r="AI23" i="9" a="1"/>
  <c r="AI23" i="9" s="1"/>
  <c r="AA23" i="9" a="1"/>
  <c r="AA23" i="9" s="1"/>
  <c r="S23" i="9" a="1"/>
  <c r="S23" i="9" s="1"/>
  <c r="K23" i="9" a="1"/>
  <c r="K23" i="9" s="1"/>
  <c r="CK23" i="9" a="1"/>
  <c r="CK23" i="9" s="1"/>
  <c r="CB23" i="9" a="1"/>
  <c r="CB23" i="9" s="1"/>
  <c r="BT23" i="9" a="1"/>
  <c r="BT23" i="9" s="1"/>
  <c r="BL23" i="9" a="1"/>
  <c r="BL23" i="9" s="1"/>
  <c r="BD23" i="9" a="1"/>
  <c r="BD23" i="9" s="1"/>
  <c r="AV23" i="9" a="1"/>
  <c r="AV23" i="9" s="1"/>
  <c r="AN23" i="9" a="1"/>
  <c r="AN23" i="9" s="1"/>
  <c r="AF23" i="9" a="1"/>
  <c r="AF23" i="9" s="1"/>
  <c r="X23" i="9" a="1"/>
  <c r="X23" i="9" s="1"/>
  <c r="P23" i="9" a="1"/>
  <c r="P23" i="9" s="1"/>
  <c r="H23" i="9" a="1"/>
  <c r="H23"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85" i="14"/>
  <c r="D513" i="14"/>
  <c r="D665" i="14"/>
  <c r="D26" i="14"/>
  <c r="D127" i="14"/>
  <c r="D123" i="14"/>
  <c r="D119" i="14"/>
  <c r="D115" i="14"/>
  <c r="D111" i="14"/>
  <c r="D107" i="14"/>
  <c r="D105" i="14"/>
  <c r="D99" i="14"/>
  <c r="D198" i="14"/>
  <c r="D190" i="14"/>
  <c r="D182" i="14"/>
  <c r="D233" i="14"/>
  <c r="D224" i="14"/>
  <c r="D216" i="14"/>
  <c r="D278" i="14"/>
  <c r="D270" i="14"/>
  <c r="D262" i="14"/>
  <c r="D254" i="14"/>
  <c r="D288"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668" i="14"/>
  <c r="D735" i="14"/>
  <c r="D726" i="14"/>
  <c r="D718" i="14"/>
  <c r="D710" i="14"/>
  <c r="D551" i="22"/>
  <c r="D1159" i="22"/>
  <c r="D137" i="21"/>
  <c r="D153"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0" i="9" a="1"/>
  <c r="CR20" i="9" s="1"/>
  <c r="CN20" i="9" a="1"/>
  <c r="CN20" i="9" s="1"/>
  <c r="CJ20" i="9" a="1"/>
  <c r="CJ20" i="9" s="1"/>
  <c r="CE20" i="9" a="1"/>
  <c r="CE20" i="9" s="1"/>
  <c r="CA20" i="9" a="1"/>
  <c r="CA20" i="9" s="1"/>
  <c r="BW20" i="9" a="1"/>
  <c r="BW20" i="9" s="1"/>
  <c r="BS20" i="9" a="1"/>
  <c r="BS20" i="9" s="1"/>
  <c r="BO20" i="9" a="1"/>
  <c r="BO20" i="9" s="1"/>
  <c r="BK20" i="9" a="1"/>
  <c r="BK20" i="9" s="1"/>
  <c r="BG20" i="9" a="1"/>
  <c r="BG20" i="9" s="1"/>
  <c r="BC20" i="9" a="1"/>
  <c r="BC20" i="9" s="1"/>
  <c r="AY20" i="9" a="1"/>
  <c r="AY20" i="9" s="1"/>
  <c r="AU20" i="9" a="1"/>
  <c r="AU20" i="9" s="1"/>
  <c r="AQ20" i="9" a="1"/>
  <c r="AQ20" i="9" s="1"/>
  <c r="AM20" i="9" a="1"/>
  <c r="AM20" i="9" s="1"/>
  <c r="AI20" i="9" a="1"/>
  <c r="AI20" i="9" s="1"/>
  <c r="AE20" i="9" a="1"/>
  <c r="AE20" i="9" s="1"/>
  <c r="AA20" i="9" a="1"/>
  <c r="AA20" i="9" s="1"/>
  <c r="W20" i="9" a="1"/>
  <c r="W20" i="9" s="1"/>
  <c r="S20" i="9" a="1"/>
  <c r="S20" i="9" s="1"/>
  <c r="O20" i="9" a="1"/>
  <c r="O20" i="9" s="1"/>
  <c r="K20" i="9" a="1"/>
  <c r="K20" i="9" s="1"/>
  <c r="G20" i="9" a="1"/>
  <c r="G20" i="9" s="1"/>
  <c r="CQ20" i="9" a="1"/>
  <c r="CQ20" i="9" s="1"/>
  <c r="CM20" i="9" a="1"/>
  <c r="CM20" i="9" s="1"/>
  <c r="CI20" i="9" a="1"/>
  <c r="CI20" i="9" s="1"/>
  <c r="CD20" i="9" a="1"/>
  <c r="CD20" i="9" s="1"/>
  <c r="BZ20" i="9" a="1"/>
  <c r="BZ20" i="9" s="1"/>
  <c r="BV20" i="9" a="1"/>
  <c r="BV20" i="9" s="1"/>
  <c r="BR20" i="9" a="1"/>
  <c r="BR20" i="9" s="1"/>
  <c r="BN20" i="9" a="1"/>
  <c r="BN20" i="9" s="1"/>
  <c r="BJ20" i="9" a="1"/>
  <c r="BJ20" i="9" s="1"/>
  <c r="BF20" i="9" a="1"/>
  <c r="BF20" i="9" s="1"/>
  <c r="BB20" i="9" a="1"/>
  <c r="BB20" i="9" s="1"/>
  <c r="AX20" i="9" a="1"/>
  <c r="AX20" i="9" s="1"/>
  <c r="AT20" i="9" a="1"/>
  <c r="AT20" i="9" s="1"/>
  <c r="AP20" i="9" a="1"/>
  <c r="AP20" i="9" s="1"/>
  <c r="AL20" i="9" a="1"/>
  <c r="AL20" i="9" s="1"/>
  <c r="AH20" i="9" a="1"/>
  <c r="AH20" i="9" s="1"/>
  <c r="AD20" i="9" a="1"/>
  <c r="AD20" i="9" s="1"/>
  <c r="Z20" i="9" a="1"/>
  <c r="Z20" i="9" s="1"/>
  <c r="V20" i="9" a="1"/>
  <c r="V20" i="9" s="1"/>
  <c r="R20" i="9" a="1"/>
  <c r="R20" i="9" s="1"/>
  <c r="N20" i="9" a="1"/>
  <c r="N20" i="9" s="1"/>
  <c r="J20" i="9" a="1"/>
  <c r="J20" i="9" s="1"/>
  <c r="F20" i="9" a="1"/>
  <c r="F20" i="9" s="1"/>
  <c r="CK20" i="9" a="1"/>
  <c r="CK20" i="9" s="1"/>
  <c r="CB20" i="9" a="1"/>
  <c r="CB20" i="9" s="1"/>
  <c r="BT20" i="9" a="1"/>
  <c r="BT20" i="9" s="1"/>
  <c r="BL20" i="9" a="1"/>
  <c r="BL20" i="9" s="1"/>
  <c r="BD20" i="9" a="1"/>
  <c r="BD20" i="9" s="1"/>
  <c r="AV20" i="9" a="1"/>
  <c r="AV20" i="9" s="1"/>
  <c r="AN20" i="9" a="1"/>
  <c r="AN20" i="9" s="1"/>
  <c r="AF20" i="9" a="1"/>
  <c r="AF20" i="9" s="1"/>
  <c r="X20" i="9" a="1"/>
  <c r="X20" i="9" s="1"/>
  <c r="P20" i="9" a="1"/>
  <c r="P20" i="9" s="1"/>
  <c r="H20" i="9" a="1"/>
  <c r="H20" i="9" s="1"/>
  <c r="CP20" i="9" a="1"/>
  <c r="CP20" i="9" s="1"/>
  <c r="CH20" i="9" a="1"/>
  <c r="CH20" i="9" s="1"/>
  <c r="BY20" i="9" a="1"/>
  <c r="BY20" i="9" s="1"/>
  <c r="BQ20" i="9" a="1"/>
  <c r="BQ20" i="9" s="1"/>
  <c r="BI20" i="9" a="1"/>
  <c r="BI20" i="9" s="1"/>
  <c r="BA20" i="9" a="1"/>
  <c r="BA20" i="9" s="1"/>
  <c r="AS20" i="9" a="1"/>
  <c r="AS20" i="9" s="1"/>
  <c r="AK20" i="9" a="1"/>
  <c r="AK20" i="9" s="1"/>
  <c r="AC20" i="9" a="1"/>
  <c r="AC20" i="9" s="1"/>
  <c r="U20" i="9" a="1"/>
  <c r="U20" i="9" s="1"/>
  <c r="M20" i="9" a="1"/>
  <c r="M20" i="9" s="1"/>
  <c r="E20" i="9" a="1"/>
  <c r="E20" i="9" s="1"/>
  <c r="CO20" i="9" a="1"/>
  <c r="CO20" i="9" s="1"/>
  <c r="CF20" i="9" a="1"/>
  <c r="CF20" i="9" s="1"/>
  <c r="BX20" i="9" a="1"/>
  <c r="BX20" i="9" s="1"/>
  <c r="BP20" i="9" a="1"/>
  <c r="BP20" i="9" s="1"/>
  <c r="BH20" i="9" a="1"/>
  <c r="BH20" i="9" s="1"/>
  <c r="AZ20" i="9" a="1"/>
  <c r="AZ20" i="9" s="1"/>
  <c r="AR20" i="9" a="1"/>
  <c r="AR20" i="9" s="1"/>
  <c r="AJ20" i="9" a="1"/>
  <c r="AJ20" i="9" s="1"/>
  <c r="AB20" i="9" a="1"/>
  <c r="AB20" i="9" s="1"/>
  <c r="T20" i="9" a="1"/>
  <c r="T20" i="9" s="1"/>
  <c r="L20" i="9" a="1"/>
  <c r="L20" i="9" s="1"/>
  <c r="CL20" i="9" a="1"/>
  <c r="CL20" i="9" s="1"/>
  <c r="CC20" i="9" a="1"/>
  <c r="CC20" i="9" s="1"/>
  <c r="BU20" i="9" a="1"/>
  <c r="BU20" i="9" s="1"/>
  <c r="BM20" i="9" a="1"/>
  <c r="BM20" i="9" s="1"/>
  <c r="BE20" i="9" a="1"/>
  <c r="BE20" i="9" s="1"/>
  <c r="AW20" i="9" a="1"/>
  <c r="AW20" i="9" s="1"/>
  <c r="AO20" i="9" a="1"/>
  <c r="AO20" i="9" s="1"/>
  <c r="AG20" i="9" a="1"/>
  <c r="AG20" i="9" s="1"/>
  <c r="Y20" i="9" a="1"/>
  <c r="Y20" i="9" s="1"/>
  <c r="Q20" i="9" a="1"/>
  <c r="Q20" i="9" s="1"/>
  <c r="I20" i="9" a="1"/>
  <c r="I20" i="9" s="1"/>
  <c r="CR24" i="9" a="1"/>
  <c r="CR24" i="9" s="1"/>
  <c r="CN24" i="9" a="1"/>
  <c r="CN24" i="9" s="1"/>
  <c r="CJ24" i="9" a="1"/>
  <c r="CJ24" i="9" s="1"/>
  <c r="CE24" i="9" a="1"/>
  <c r="CE24" i="9" s="1"/>
  <c r="CA24" i="9" a="1"/>
  <c r="CA24" i="9" s="1"/>
  <c r="BW24" i="9" a="1"/>
  <c r="BW24" i="9" s="1"/>
  <c r="BS24" i="9" a="1"/>
  <c r="BS24" i="9" s="1"/>
  <c r="BO24" i="9" a="1"/>
  <c r="BO24" i="9" s="1"/>
  <c r="BK24" i="9" a="1"/>
  <c r="BK24" i="9" s="1"/>
  <c r="BG24" i="9" a="1"/>
  <c r="BG24" i="9" s="1"/>
  <c r="BC24" i="9" a="1"/>
  <c r="BC24" i="9" s="1"/>
  <c r="AY24" i="9" a="1"/>
  <c r="AY24" i="9" s="1"/>
  <c r="AU24" i="9" a="1"/>
  <c r="AU24" i="9" s="1"/>
  <c r="AQ24" i="9" a="1"/>
  <c r="AQ24" i="9" s="1"/>
  <c r="AM24" i="9" a="1"/>
  <c r="AM24" i="9" s="1"/>
  <c r="AI24" i="9" a="1"/>
  <c r="AI24" i="9" s="1"/>
  <c r="AE24" i="9" a="1"/>
  <c r="AE24" i="9" s="1"/>
  <c r="AA24" i="9" a="1"/>
  <c r="AA24" i="9" s="1"/>
  <c r="W24" i="9" a="1"/>
  <c r="W24" i="9" s="1"/>
  <c r="S24" i="9" a="1"/>
  <c r="S24" i="9" s="1"/>
  <c r="O24" i="9" a="1"/>
  <c r="O24" i="9" s="1"/>
  <c r="K24" i="9" a="1"/>
  <c r="K24" i="9" s="1"/>
  <c r="G24" i="9" a="1"/>
  <c r="G24" i="9" s="1"/>
  <c r="CQ24" i="9" a="1"/>
  <c r="CQ24" i="9" s="1"/>
  <c r="CM24" i="9" a="1"/>
  <c r="CM24" i="9" s="1"/>
  <c r="CI24" i="9" a="1"/>
  <c r="CI24" i="9" s="1"/>
  <c r="CD24" i="9" a="1"/>
  <c r="CD24" i="9" s="1"/>
  <c r="BZ24" i="9" a="1"/>
  <c r="BZ24" i="9" s="1"/>
  <c r="BV24" i="9" a="1"/>
  <c r="BV24" i="9" s="1"/>
  <c r="BR24" i="9" a="1"/>
  <c r="BR24" i="9" s="1"/>
  <c r="BN24" i="9" a="1"/>
  <c r="BN24" i="9" s="1"/>
  <c r="BJ24" i="9" a="1"/>
  <c r="BJ24" i="9" s="1"/>
  <c r="BF24" i="9" a="1"/>
  <c r="BF24" i="9" s="1"/>
  <c r="BB24" i="9" a="1"/>
  <c r="BB24" i="9" s="1"/>
  <c r="AX24" i="9" a="1"/>
  <c r="AX24" i="9" s="1"/>
  <c r="AT24" i="9" a="1"/>
  <c r="AT24" i="9" s="1"/>
  <c r="AP24" i="9" a="1"/>
  <c r="AP24" i="9" s="1"/>
  <c r="AL24" i="9" a="1"/>
  <c r="AL24" i="9" s="1"/>
  <c r="AH24" i="9" a="1"/>
  <c r="AH24" i="9" s="1"/>
  <c r="AD24" i="9" a="1"/>
  <c r="AD24" i="9" s="1"/>
  <c r="Z24" i="9" a="1"/>
  <c r="Z24" i="9" s="1"/>
  <c r="V24" i="9" a="1"/>
  <c r="V24" i="9" s="1"/>
  <c r="R24" i="9" a="1"/>
  <c r="R24" i="9" s="1"/>
  <c r="N24" i="9" a="1"/>
  <c r="N24" i="9" s="1"/>
  <c r="J24" i="9" a="1"/>
  <c r="J24" i="9" s="1"/>
  <c r="F24" i="9" a="1"/>
  <c r="F24" i="9" s="1"/>
  <c r="CO24" i="9" a="1"/>
  <c r="CO24" i="9" s="1"/>
  <c r="CF24" i="9" a="1"/>
  <c r="CF24" i="9" s="1"/>
  <c r="BX24" i="9" a="1"/>
  <c r="BX24" i="9" s="1"/>
  <c r="BP24" i="9" a="1"/>
  <c r="BP24" i="9" s="1"/>
  <c r="BH24" i="9" a="1"/>
  <c r="BH24" i="9" s="1"/>
  <c r="AZ24" i="9" a="1"/>
  <c r="AZ24" i="9" s="1"/>
  <c r="AR24" i="9" a="1"/>
  <c r="AR24" i="9" s="1"/>
  <c r="AJ24" i="9" a="1"/>
  <c r="AJ24" i="9" s="1"/>
  <c r="AB24" i="9" a="1"/>
  <c r="AB24" i="9" s="1"/>
  <c r="T24" i="9" a="1"/>
  <c r="T24" i="9" s="1"/>
  <c r="L24" i="9" a="1"/>
  <c r="L24" i="9" s="1"/>
  <c r="CL24" i="9" a="1"/>
  <c r="CL24" i="9" s="1"/>
  <c r="CC24" i="9" a="1"/>
  <c r="CC24" i="9" s="1"/>
  <c r="BU24" i="9" a="1"/>
  <c r="BU24" i="9" s="1"/>
  <c r="BM24" i="9" a="1"/>
  <c r="BM24" i="9" s="1"/>
  <c r="BE24" i="9" a="1"/>
  <c r="BE24" i="9" s="1"/>
  <c r="AW24" i="9" a="1"/>
  <c r="AW24" i="9" s="1"/>
  <c r="AO24" i="9" a="1"/>
  <c r="AO24" i="9" s="1"/>
  <c r="AG24" i="9" a="1"/>
  <c r="AG24" i="9" s="1"/>
  <c r="Y24" i="9" a="1"/>
  <c r="Y24" i="9" s="1"/>
  <c r="Q24" i="9" a="1"/>
  <c r="Q24" i="9" s="1"/>
  <c r="I24" i="9" a="1"/>
  <c r="I24" i="9" s="1"/>
  <c r="CK24" i="9" a="1"/>
  <c r="CK24" i="9" s="1"/>
  <c r="CB24" i="9" a="1"/>
  <c r="CB24" i="9" s="1"/>
  <c r="BT24" i="9" a="1"/>
  <c r="BT24" i="9" s="1"/>
  <c r="BL24" i="9" a="1"/>
  <c r="BL24" i="9" s="1"/>
  <c r="BD24" i="9" a="1"/>
  <c r="BD24" i="9" s="1"/>
  <c r="AV24" i="9" a="1"/>
  <c r="AV24" i="9" s="1"/>
  <c r="AN24" i="9" a="1"/>
  <c r="AN24" i="9" s="1"/>
  <c r="AF24" i="9" a="1"/>
  <c r="AF24" i="9" s="1"/>
  <c r="X24" i="9" a="1"/>
  <c r="X24" i="9" s="1"/>
  <c r="P24" i="9" a="1"/>
  <c r="P24" i="9" s="1"/>
  <c r="H24" i="9" a="1"/>
  <c r="H24" i="9" s="1"/>
  <c r="CP24" i="9" a="1"/>
  <c r="CP24" i="9" s="1"/>
  <c r="CH24" i="9" a="1"/>
  <c r="CH24" i="9" s="1"/>
  <c r="BY24" i="9" a="1"/>
  <c r="BY24" i="9" s="1"/>
  <c r="BQ24" i="9" a="1"/>
  <c r="BQ24" i="9" s="1"/>
  <c r="BI24" i="9" a="1"/>
  <c r="BI24" i="9" s="1"/>
  <c r="BA24" i="9" a="1"/>
  <c r="BA24" i="9" s="1"/>
  <c r="AS24" i="9" a="1"/>
  <c r="AS24" i="9" s="1"/>
  <c r="AK24" i="9" a="1"/>
  <c r="AK24" i="9" s="1"/>
  <c r="AC24" i="9" a="1"/>
  <c r="AC24" i="9" s="1"/>
  <c r="U24" i="9" a="1"/>
  <c r="U24" i="9" s="1"/>
  <c r="M24" i="9" a="1"/>
  <c r="M24" i="9" s="1"/>
  <c r="E24" i="9" a="1"/>
  <c r="E24"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478" i="14"/>
  <c r="D524" i="14"/>
  <c r="D566" i="14"/>
  <c r="D562" i="14"/>
  <c r="D608" i="14"/>
  <c r="D696" i="14"/>
  <c r="D692" i="14"/>
  <c r="D688" i="14"/>
  <c r="D669" i="14"/>
  <c r="D719" i="14"/>
  <c r="D437" i="22"/>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2" i="9" a="1"/>
  <c r="CP22" i="9" s="1"/>
  <c r="CL22" i="9" a="1"/>
  <c r="CL22" i="9" s="1"/>
  <c r="CH22" i="9" a="1"/>
  <c r="CH22" i="9" s="1"/>
  <c r="CC22" i="9" a="1"/>
  <c r="CC22" i="9" s="1"/>
  <c r="BY22" i="9" a="1"/>
  <c r="BY22" i="9" s="1"/>
  <c r="BU22" i="9" a="1"/>
  <c r="BU22" i="9" s="1"/>
  <c r="BQ22" i="9" a="1"/>
  <c r="BQ22" i="9" s="1"/>
  <c r="BM22" i="9" a="1"/>
  <c r="BM22" i="9" s="1"/>
  <c r="BI22" i="9" a="1"/>
  <c r="BI22" i="9" s="1"/>
  <c r="BE22" i="9" a="1"/>
  <c r="BE22" i="9" s="1"/>
  <c r="BA22" i="9" a="1"/>
  <c r="BA22" i="9" s="1"/>
  <c r="AW22" i="9" a="1"/>
  <c r="AW22" i="9" s="1"/>
  <c r="AS22" i="9" a="1"/>
  <c r="AS22" i="9" s="1"/>
  <c r="AO22" i="9" a="1"/>
  <c r="AO22" i="9" s="1"/>
  <c r="AK22" i="9" a="1"/>
  <c r="AK22" i="9" s="1"/>
  <c r="AG22" i="9" a="1"/>
  <c r="AG22" i="9" s="1"/>
  <c r="AC22" i="9" a="1"/>
  <c r="AC22" i="9" s="1"/>
  <c r="Y22" i="9" a="1"/>
  <c r="Y22" i="9" s="1"/>
  <c r="U22" i="9" a="1"/>
  <c r="U22" i="9" s="1"/>
  <c r="Q22" i="9" a="1"/>
  <c r="Q22" i="9" s="1"/>
  <c r="M22" i="9" a="1"/>
  <c r="M22" i="9" s="1"/>
  <c r="I22" i="9" a="1"/>
  <c r="I22" i="9" s="1"/>
  <c r="E22" i="9" a="1"/>
  <c r="E22" i="9" s="1"/>
  <c r="CO22" i="9" a="1"/>
  <c r="CO22" i="9" s="1"/>
  <c r="CK22" i="9" a="1"/>
  <c r="CK22" i="9" s="1"/>
  <c r="CF22" i="9" a="1"/>
  <c r="CF22" i="9" s="1"/>
  <c r="CB22" i="9" a="1"/>
  <c r="CB22" i="9" s="1"/>
  <c r="BX22" i="9" a="1"/>
  <c r="BX22" i="9" s="1"/>
  <c r="BT22" i="9" a="1"/>
  <c r="BT22" i="9" s="1"/>
  <c r="BP22" i="9" a="1"/>
  <c r="BP22" i="9" s="1"/>
  <c r="BL22" i="9" a="1"/>
  <c r="BL22" i="9" s="1"/>
  <c r="BH22" i="9" a="1"/>
  <c r="BH22" i="9" s="1"/>
  <c r="BD22" i="9" a="1"/>
  <c r="BD22" i="9" s="1"/>
  <c r="AZ22" i="9" a="1"/>
  <c r="AZ22" i="9" s="1"/>
  <c r="AV22" i="9" a="1"/>
  <c r="AV22" i="9" s="1"/>
  <c r="AR22" i="9" a="1"/>
  <c r="AR22" i="9" s="1"/>
  <c r="AN22" i="9" a="1"/>
  <c r="AN22" i="9" s="1"/>
  <c r="AJ22" i="9" a="1"/>
  <c r="AJ22" i="9" s="1"/>
  <c r="AF22" i="9" a="1"/>
  <c r="AF22" i="9" s="1"/>
  <c r="AB22" i="9" a="1"/>
  <c r="AB22" i="9" s="1"/>
  <c r="X22" i="9" a="1"/>
  <c r="X22" i="9" s="1"/>
  <c r="T22" i="9" a="1"/>
  <c r="T22" i="9" s="1"/>
  <c r="P22" i="9" a="1"/>
  <c r="P22" i="9" s="1"/>
  <c r="L22" i="9" a="1"/>
  <c r="L22" i="9" s="1"/>
  <c r="H22" i="9" a="1"/>
  <c r="H22" i="9" s="1"/>
  <c r="CM22" i="9" a="1"/>
  <c r="CM22" i="9" s="1"/>
  <c r="CD22" i="9" a="1"/>
  <c r="CD22" i="9" s="1"/>
  <c r="BV22" i="9" a="1"/>
  <c r="BV22" i="9" s="1"/>
  <c r="BN22" i="9" a="1"/>
  <c r="BN22" i="9" s="1"/>
  <c r="BF22" i="9" a="1"/>
  <c r="BF22" i="9" s="1"/>
  <c r="AX22" i="9" a="1"/>
  <c r="AX22" i="9" s="1"/>
  <c r="AP22" i="9" a="1"/>
  <c r="AP22" i="9" s="1"/>
  <c r="AH22" i="9" a="1"/>
  <c r="AH22" i="9" s="1"/>
  <c r="Z22" i="9" a="1"/>
  <c r="Z22" i="9" s="1"/>
  <c r="R22" i="9" a="1"/>
  <c r="R22" i="9" s="1"/>
  <c r="J22" i="9" a="1"/>
  <c r="J22" i="9" s="1"/>
  <c r="CR22" i="9" a="1"/>
  <c r="CR22" i="9" s="1"/>
  <c r="CJ22" i="9" a="1"/>
  <c r="CJ22" i="9" s="1"/>
  <c r="CA22" i="9" a="1"/>
  <c r="CA22" i="9" s="1"/>
  <c r="BS22" i="9" a="1"/>
  <c r="BS22" i="9" s="1"/>
  <c r="BK22" i="9" a="1"/>
  <c r="BK22" i="9" s="1"/>
  <c r="BC22" i="9" a="1"/>
  <c r="BC22" i="9" s="1"/>
  <c r="AU22" i="9" a="1"/>
  <c r="AU22" i="9" s="1"/>
  <c r="AM22" i="9" a="1"/>
  <c r="AM22" i="9" s="1"/>
  <c r="AE22" i="9" a="1"/>
  <c r="AE22" i="9" s="1"/>
  <c r="W22" i="9" a="1"/>
  <c r="W22" i="9" s="1"/>
  <c r="O22" i="9" a="1"/>
  <c r="O22" i="9" s="1"/>
  <c r="G22" i="9" a="1"/>
  <c r="G22" i="9" s="1"/>
  <c r="CQ22" i="9" a="1"/>
  <c r="CQ22" i="9" s="1"/>
  <c r="CI22" i="9" a="1"/>
  <c r="CI22" i="9" s="1"/>
  <c r="BZ22" i="9" a="1"/>
  <c r="BZ22" i="9" s="1"/>
  <c r="BR22" i="9" a="1"/>
  <c r="BR22" i="9" s="1"/>
  <c r="BJ22" i="9" a="1"/>
  <c r="BJ22" i="9" s="1"/>
  <c r="BB22" i="9" a="1"/>
  <c r="BB22" i="9" s="1"/>
  <c r="AT22" i="9" a="1"/>
  <c r="AT22" i="9" s="1"/>
  <c r="AL22" i="9" a="1"/>
  <c r="AL22" i="9" s="1"/>
  <c r="AD22" i="9" a="1"/>
  <c r="AD22" i="9" s="1"/>
  <c r="V22" i="9" a="1"/>
  <c r="V22" i="9" s="1"/>
  <c r="N22" i="9" a="1"/>
  <c r="N22" i="9" s="1"/>
  <c r="F22" i="9" a="1"/>
  <c r="F22" i="9" s="1"/>
  <c r="CN22" i="9" a="1"/>
  <c r="CN22" i="9" s="1"/>
  <c r="CE22" i="9" a="1"/>
  <c r="CE22" i="9" s="1"/>
  <c r="BW22" i="9" a="1"/>
  <c r="BW22" i="9" s="1"/>
  <c r="BO22" i="9" a="1"/>
  <c r="BO22" i="9" s="1"/>
  <c r="BG22" i="9" a="1"/>
  <c r="BG22" i="9" s="1"/>
  <c r="AY22" i="9" a="1"/>
  <c r="AY22" i="9" s="1"/>
  <c r="AQ22" i="9" a="1"/>
  <c r="AQ22" i="9" s="1"/>
  <c r="AI22" i="9" a="1"/>
  <c r="AI22" i="9" s="1"/>
  <c r="AA22" i="9" a="1"/>
  <c r="AA22" i="9" s="1"/>
  <c r="S22" i="9" a="1"/>
  <c r="S22" i="9" s="1"/>
  <c r="K22" i="9" a="1"/>
  <c r="K2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19" i="14"/>
  <c r="D323" i="14"/>
  <c r="D703" i="14"/>
  <c r="D50" i="14"/>
  <c r="D46" i="14"/>
  <c r="D42" i="14"/>
  <c r="D38" i="14"/>
  <c r="D34" i="14"/>
  <c r="D31" i="14"/>
  <c r="D23" i="14"/>
  <c r="D126" i="14"/>
  <c r="D122" i="14"/>
  <c r="D118" i="14"/>
  <c r="D114" i="14"/>
  <c r="D110" i="14"/>
  <c r="D106" i="14"/>
  <c r="D98" i="14"/>
  <c r="D164" i="14"/>
  <c r="D160" i="14"/>
  <c r="D156" i="14"/>
  <c r="D152" i="14"/>
  <c r="D148" i="14"/>
  <c r="D144" i="14"/>
  <c r="D140" i="14"/>
  <c r="D136" i="14"/>
  <c r="D203" i="14"/>
  <c r="D195" i="14"/>
  <c r="D187" i="14"/>
  <c r="D179" i="14"/>
  <c r="D232" i="14"/>
  <c r="D229" i="14"/>
  <c r="D221" i="14"/>
  <c r="D213" i="14"/>
  <c r="D275" i="14"/>
  <c r="D267" i="14"/>
  <c r="D259" i="14"/>
  <c r="D251" i="14"/>
  <c r="D327" i="14"/>
  <c r="D391" i="14"/>
  <c r="D384" i="14"/>
  <c r="D380" i="14"/>
  <c r="D377" i="14"/>
  <c r="D365" i="14"/>
  <c r="D413" i="14"/>
  <c r="D403" i="14"/>
  <c r="D465" i="14"/>
  <c r="D457" i="14"/>
  <c r="D449" i="14"/>
  <c r="D441" i="14"/>
  <c r="D482" i="14"/>
  <c r="D544" i="14"/>
  <c r="D536" i="14"/>
  <c r="D528" i="14"/>
  <c r="D520" i="14"/>
  <c r="D558" i="14"/>
  <c r="D620" i="14"/>
  <c r="D612" i="14"/>
  <c r="D604" i="14"/>
  <c r="D596" i="14"/>
  <c r="D631" i="14"/>
  <c r="D684" i="14"/>
  <c r="D676" i="14"/>
  <c r="D734" i="14"/>
  <c r="D731" i="14"/>
  <c r="D723" i="14"/>
  <c r="D715" i="14"/>
  <c r="D707" i="14"/>
  <c r="D817" i="22"/>
  <c r="D1116" i="22"/>
  <c r="CO21" i="9" a="1"/>
  <c r="CO21" i="9" s="1"/>
  <c r="CK21" i="9" a="1"/>
  <c r="CK21" i="9" s="1"/>
  <c r="CF21" i="9" a="1"/>
  <c r="CF21" i="9" s="1"/>
  <c r="CB21" i="9" a="1"/>
  <c r="CB21" i="9" s="1"/>
  <c r="BX21" i="9" a="1"/>
  <c r="BX21" i="9" s="1"/>
  <c r="BT21" i="9" a="1"/>
  <c r="BT21" i="9" s="1"/>
  <c r="BP21" i="9" a="1"/>
  <c r="BP21" i="9" s="1"/>
  <c r="BL21" i="9" a="1"/>
  <c r="BL21" i="9" s="1"/>
  <c r="BH21" i="9" a="1"/>
  <c r="BH21" i="9" s="1"/>
  <c r="BD21" i="9" a="1"/>
  <c r="BD21" i="9" s="1"/>
  <c r="AZ21" i="9" a="1"/>
  <c r="AZ21" i="9" s="1"/>
  <c r="AV21" i="9" a="1"/>
  <c r="AV21" i="9" s="1"/>
  <c r="AR21" i="9" a="1"/>
  <c r="AR21" i="9" s="1"/>
  <c r="AN21" i="9" a="1"/>
  <c r="AN21" i="9" s="1"/>
  <c r="AJ21" i="9" a="1"/>
  <c r="AJ21" i="9" s="1"/>
  <c r="AF21" i="9" a="1"/>
  <c r="AF21" i="9" s="1"/>
  <c r="AB21" i="9" a="1"/>
  <c r="AB21" i="9" s="1"/>
  <c r="X21" i="9" a="1"/>
  <c r="X21" i="9" s="1"/>
  <c r="T21" i="9" a="1"/>
  <c r="T21" i="9" s="1"/>
  <c r="P21" i="9" a="1"/>
  <c r="P21" i="9" s="1"/>
  <c r="L21" i="9" a="1"/>
  <c r="L21" i="9" s="1"/>
  <c r="H21" i="9" a="1"/>
  <c r="H21" i="9" s="1"/>
  <c r="CR21" i="9" a="1"/>
  <c r="CR21" i="9" s="1"/>
  <c r="CN21" i="9" a="1"/>
  <c r="CN21" i="9" s="1"/>
  <c r="CJ21" i="9" a="1"/>
  <c r="CJ21" i="9" s="1"/>
  <c r="CE21" i="9" a="1"/>
  <c r="CE21" i="9" s="1"/>
  <c r="CA21" i="9" a="1"/>
  <c r="CA21" i="9" s="1"/>
  <c r="BW21" i="9" a="1"/>
  <c r="BW21" i="9" s="1"/>
  <c r="BS21" i="9" a="1"/>
  <c r="BS21" i="9" s="1"/>
  <c r="BO21" i="9" a="1"/>
  <c r="BO21" i="9" s="1"/>
  <c r="BK21" i="9" a="1"/>
  <c r="BK21" i="9" s="1"/>
  <c r="BG21" i="9" a="1"/>
  <c r="BG21" i="9" s="1"/>
  <c r="BC21" i="9" a="1"/>
  <c r="BC21" i="9" s="1"/>
  <c r="AY21" i="9" a="1"/>
  <c r="AY21" i="9" s="1"/>
  <c r="AU21" i="9" a="1"/>
  <c r="AU21" i="9" s="1"/>
  <c r="AQ21" i="9" a="1"/>
  <c r="AQ21" i="9" s="1"/>
  <c r="AM21" i="9" a="1"/>
  <c r="AM21" i="9" s="1"/>
  <c r="AI21" i="9" a="1"/>
  <c r="AI21" i="9" s="1"/>
  <c r="AE21" i="9" a="1"/>
  <c r="AE21" i="9" s="1"/>
  <c r="AA21" i="9" a="1"/>
  <c r="AA21" i="9" s="1"/>
  <c r="W21" i="9" a="1"/>
  <c r="W21" i="9" s="1"/>
  <c r="S21" i="9" a="1"/>
  <c r="S21" i="9" s="1"/>
  <c r="O21" i="9" a="1"/>
  <c r="O21" i="9" s="1"/>
  <c r="K21" i="9" a="1"/>
  <c r="K21" i="9" s="1"/>
  <c r="G21" i="9" a="1"/>
  <c r="G21" i="9" s="1"/>
  <c r="CP21" i="9" a="1"/>
  <c r="CP21" i="9" s="1"/>
  <c r="CH21" i="9" a="1"/>
  <c r="CH21" i="9" s="1"/>
  <c r="BY21" i="9" a="1"/>
  <c r="BY21" i="9" s="1"/>
  <c r="BQ21" i="9" a="1"/>
  <c r="BQ21" i="9" s="1"/>
  <c r="BI21" i="9" a="1"/>
  <c r="BI21" i="9" s="1"/>
  <c r="BA21" i="9" a="1"/>
  <c r="BA21" i="9" s="1"/>
  <c r="AS21" i="9" a="1"/>
  <c r="AS21" i="9" s="1"/>
  <c r="AK21" i="9" a="1"/>
  <c r="AK21" i="9" s="1"/>
  <c r="AC21" i="9" a="1"/>
  <c r="AC21" i="9" s="1"/>
  <c r="U21" i="9" a="1"/>
  <c r="U21" i="9" s="1"/>
  <c r="M21" i="9" a="1"/>
  <c r="M21" i="9" s="1"/>
  <c r="E21" i="9" a="1"/>
  <c r="E21" i="9" s="1"/>
  <c r="CM21" i="9" a="1"/>
  <c r="CM21" i="9" s="1"/>
  <c r="CD21" i="9" a="1"/>
  <c r="CD21" i="9" s="1"/>
  <c r="BV21" i="9" a="1"/>
  <c r="BV21" i="9" s="1"/>
  <c r="BN21" i="9" a="1"/>
  <c r="BN21" i="9" s="1"/>
  <c r="BF21" i="9" a="1"/>
  <c r="BF21" i="9" s="1"/>
  <c r="AX21" i="9" a="1"/>
  <c r="AX21" i="9" s="1"/>
  <c r="AP21" i="9" a="1"/>
  <c r="AP21" i="9" s="1"/>
  <c r="AH21" i="9" a="1"/>
  <c r="AH21" i="9" s="1"/>
  <c r="Z21" i="9" a="1"/>
  <c r="Z21" i="9" s="1"/>
  <c r="R21" i="9" a="1"/>
  <c r="R21" i="9" s="1"/>
  <c r="J21" i="9" a="1"/>
  <c r="J21" i="9" s="1"/>
  <c r="CL21" i="9" a="1"/>
  <c r="CL21" i="9" s="1"/>
  <c r="CC21" i="9" a="1"/>
  <c r="CC21" i="9" s="1"/>
  <c r="BU21" i="9" a="1"/>
  <c r="BU21" i="9" s="1"/>
  <c r="BM21" i="9" a="1"/>
  <c r="BM21" i="9" s="1"/>
  <c r="BE21" i="9" a="1"/>
  <c r="BE21" i="9" s="1"/>
  <c r="AW21" i="9" a="1"/>
  <c r="AW21" i="9" s="1"/>
  <c r="AO21" i="9" a="1"/>
  <c r="AO21" i="9" s="1"/>
  <c r="AG21" i="9" a="1"/>
  <c r="AG21" i="9" s="1"/>
  <c r="Y21" i="9" a="1"/>
  <c r="Y21" i="9" s="1"/>
  <c r="Q21" i="9" a="1"/>
  <c r="Q21" i="9" s="1"/>
  <c r="I21" i="9" a="1"/>
  <c r="I21" i="9" s="1"/>
  <c r="CQ21" i="9" a="1"/>
  <c r="CQ21" i="9" s="1"/>
  <c r="CI21" i="9" a="1"/>
  <c r="CI21" i="9" s="1"/>
  <c r="BZ21" i="9" a="1"/>
  <c r="BZ21" i="9" s="1"/>
  <c r="BR21" i="9" a="1"/>
  <c r="BR21" i="9" s="1"/>
  <c r="BJ21" i="9" a="1"/>
  <c r="BJ21" i="9" s="1"/>
  <c r="BB21" i="9" a="1"/>
  <c r="BB21" i="9" s="1"/>
  <c r="AT21" i="9" a="1"/>
  <c r="AT21" i="9" s="1"/>
  <c r="AL21" i="9" a="1"/>
  <c r="AL21" i="9" s="1"/>
  <c r="AD21" i="9" a="1"/>
  <c r="AD21" i="9" s="1"/>
  <c r="V21" i="9" a="1"/>
  <c r="V21" i="9" s="1"/>
  <c r="N21" i="9" a="1"/>
  <c r="N21" i="9" s="1"/>
  <c r="F21" i="9" a="1"/>
  <c r="F21" i="9" s="1"/>
  <c r="CO25" i="9" a="1"/>
  <c r="CO25" i="9" s="1"/>
  <c r="CK25" i="9" a="1"/>
  <c r="CK25" i="9" s="1"/>
  <c r="CF25" i="9" a="1"/>
  <c r="CF25" i="9" s="1"/>
  <c r="CB25" i="9" a="1"/>
  <c r="CB25" i="9" s="1"/>
  <c r="BX25" i="9" a="1"/>
  <c r="BX25" i="9" s="1"/>
  <c r="BT25" i="9" a="1"/>
  <c r="BT25" i="9" s="1"/>
  <c r="BP25" i="9" a="1"/>
  <c r="BP25" i="9" s="1"/>
  <c r="BL25" i="9" a="1"/>
  <c r="BL25" i="9" s="1"/>
  <c r="BH25" i="9" a="1"/>
  <c r="BH25" i="9" s="1"/>
  <c r="BD25" i="9" a="1"/>
  <c r="BD25" i="9" s="1"/>
  <c r="AZ25" i="9" a="1"/>
  <c r="AZ25" i="9" s="1"/>
  <c r="AV25" i="9" a="1"/>
  <c r="AV25" i="9" s="1"/>
  <c r="AR25" i="9" a="1"/>
  <c r="AR25" i="9" s="1"/>
  <c r="AN25" i="9" a="1"/>
  <c r="AN25" i="9" s="1"/>
  <c r="AJ25" i="9" a="1"/>
  <c r="AJ25" i="9" s="1"/>
  <c r="AF25" i="9" a="1"/>
  <c r="AF25" i="9" s="1"/>
  <c r="AB25" i="9" a="1"/>
  <c r="AB25" i="9" s="1"/>
  <c r="X25" i="9" a="1"/>
  <c r="X25" i="9" s="1"/>
  <c r="T25" i="9" a="1"/>
  <c r="T25" i="9" s="1"/>
  <c r="P25" i="9" a="1"/>
  <c r="P25" i="9" s="1"/>
  <c r="L25" i="9" a="1"/>
  <c r="L25" i="9" s="1"/>
  <c r="H25" i="9" a="1"/>
  <c r="H25" i="9" s="1"/>
  <c r="CR25" i="9" a="1"/>
  <c r="CR25" i="9" s="1"/>
  <c r="CN25" i="9" a="1"/>
  <c r="CN25" i="9" s="1"/>
  <c r="CJ25" i="9" a="1"/>
  <c r="CJ25" i="9" s="1"/>
  <c r="CE25" i="9" a="1"/>
  <c r="CE25" i="9" s="1"/>
  <c r="CA25" i="9" a="1"/>
  <c r="CA25" i="9" s="1"/>
  <c r="BW25" i="9" a="1"/>
  <c r="BW25" i="9" s="1"/>
  <c r="BS25" i="9" a="1"/>
  <c r="BS25" i="9" s="1"/>
  <c r="BO25" i="9" a="1"/>
  <c r="BO25" i="9" s="1"/>
  <c r="BK25" i="9" a="1"/>
  <c r="BK25" i="9" s="1"/>
  <c r="BG25" i="9" a="1"/>
  <c r="BG25" i="9" s="1"/>
  <c r="BC25" i="9" a="1"/>
  <c r="BC25" i="9" s="1"/>
  <c r="AY25" i="9" a="1"/>
  <c r="AY25" i="9" s="1"/>
  <c r="AU25" i="9" a="1"/>
  <c r="AU25" i="9" s="1"/>
  <c r="AQ25" i="9" a="1"/>
  <c r="AQ25" i="9" s="1"/>
  <c r="AM25" i="9" a="1"/>
  <c r="AM25" i="9" s="1"/>
  <c r="AI25" i="9" a="1"/>
  <c r="AI25" i="9" s="1"/>
  <c r="AE25" i="9" a="1"/>
  <c r="AE25" i="9" s="1"/>
  <c r="AA25" i="9" a="1"/>
  <c r="AA25" i="9" s="1"/>
  <c r="W25" i="9" a="1"/>
  <c r="W25" i="9" s="1"/>
  <c r="S25" i="9" a="1"/>
  <c r="S25" i="9" s="1"/>
  <c r="O25" i="9" a="1"/>
  <c r="O25" i="9" s="1"/>
  <c r="K25" i="9" a="1"/>
  <c r="K25" i="9" s="1"/>
  <c r="G25" i="9" a="1"/>
  <c r="G25" i="9" s="1"/>
  <c r="CL25" i="9" a="1"/>
  <c r="CL25" i="9" s="1"/>
  <c r="CC25" i="9" a="1"/>
  <c r="CC25" i="9" s="1"/>
  <c r="BU25" i="9" a="1"/>
  <c r="BU25" i="9" s="1"/>
  <c r="BM25" i="9" a="1"/>
  <c r="BM25" i="9" s="1"/>
  <c r="BE25" i="9" a="1"/>
  <c r="BE25" i="9" s="1"/>
  <c r="AW25" i="9" a="1"/>
  <c r="AW25" i="9" s="1"/>
  <c r="AO25" i="9" a="1"/>
  <c r="AO25" i="9" s="1"/>
  <c r="AG25" i="9" a="1"/>
  <c r="AG25" i="9" s="1"/>
  <c r="Y25" i="9" a="1"/>
  <c r="Y25" i="9" s="1"/>
  <c r="Q25" i="9" a="1"/>
  <c r="Q25" i="9" s="1"/>
  <c r="I25" i="9" a="1"/>
  <c r="I25" i="9" s="1"/>
  <c r="CQ25" i="9" a="1"/>
  <c r="CQ25" i="9" s="1"/>
  <c r="CI25" i="9" a="1"/>
  <c r="CI25" i="9" s="1"/>
  <c r="BZ25" i="9" a="1"/>
  <c r="BZ25" i="9" s="1"/>
  <c r="BR25" i="9" a="1"/>
  <c r="BR25" i="9" s="1"/>
  <c r="BJ25" i="9" a="1"/>
  <c r="BJ25" i="9" s="1"/>
  <c r="BB25" i="9" a="1"/>
  <c r="BB25" i="9" s="1"/>
  <c r="AT25" i="9" a="1"/>
  <c r="AT25" i="9" s="1"/>
  <c r="AL25" i="9" a="1"/>
  <c r="AL25" i="9" s="1"/>
  <c r="AD25" i="9" a="1"/>
  <c r="AD25" i="9" s="1"/>
  <c r="V25" i="9" a="1"/>
  <c r="V25" i="9" s="1"/>
  <c r="N25" i="9" a="1"/>
  <c r="N25" i="9" s="1"/>
  <c r="F25" i="9" a="1"/>
  <c r="F25" i="9" s="1"/>
  <c r="CP25" i="9" a="1"/>
  <c r="CP25" i="9" s="1"/>
  <c r="CH25" i="9" a="1"/>
  <c r="CH25" i="9" s="1"/>
  <c r="BY25" i="9" a="1"/>
  <c r="BY25" i="9" s="1"/>
  <c r="BQ25" i="9" a="1"/>
  <c r="BQ25" i="9" s="1"/>
  <c r="BI25" i="9" a="1"/>
  <c r="BI25" i="9" s="1"/>
  <c r="BA25" i="9" a="1"/>
  <c r="BA25" i="9" s="1"/>
  <c r="AS25" i="9" a="1"/>
  <c r="AS25" i="9" s="1"/>
  <c r="AK25" i="9" a="1"/>
  <c r="AK25" i="9" s="1"/>
  <c r="AC25" i="9" a="1"/>
  <c r="AC25" i="9" s="1"/>
  <c r="U25" i="9" a="1"/>
  <c r="U25" i="9" s="1"/>
  <c r="M25" i="9" a="1"/>
  <c r="M25" i="9" s="1"/>
  <c r="E25" i="9" a="1"/>
  <c r="E25" i="9" s="1"/>
  <c r="CM25" i="9" a="1"/>
  <c r="CM25" i="9" s="1"/>
  <c r="CD25" i="9" a="1"/>
  <c r="CD25" i="9" s="1"/>
  <c r="BV25" i="9" a="1"/>
  <c r="BV25" i="9" s="1"/>
  <c r="BN25" i="9" a="1"/>
  <c r="BN25" i="9" s="1"/>
  <c r="BF25" i="9" a="1"/>
  <c r="BF25" i="9" s="1"/>
  <c r="AX25" i="9" a="1"/>
  <c r="AX25" i="9" s="1"/>
  <c r="AP25" i="9" a="1"/>
  <c r="AP25" i="9" s="1"/>
  <c r="AH25" i="9" a="1"/>
  <c r="AH25" i="9" s="1"/>
  <c r="Z25" i="9" a="1"/>
  <c r="Z25" i="9" s="1"/>
  <c r="R25" i="9" a="1"/>
  <c r="R25" i="9" s="1"/>
  <c r="J25" i="9" a="1"/>
  <c r="J25" i="9" s="1"/>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22" i="14"/>
  <c r="D91" i="14"/>
  <c r="D88" i="14"/>
  <c r="D87" i="14"/>
  <c r="D84" i="14"/>
  <c r="D83" i="14"/>
  <c r="D80" i="14"/>
  <c r="D79" i="14"/>
  <c r="D76" i="14"/>
  <c r="D75" i="14"/>
  <c r="D72" i="14"/>
  <c r="D71" i="14"/>
  <c r="D68" i="14"/>
  <c r="D67" i="14"/>
  <c r="D64" i="14"/>
  <c r="D63" i="14"/>
  <c r="D60" i="14"/>
  <c r="D59" i="14"/>
  <c r="D103" i="14"/>
  <c r="D202" i="14"/>
  <c r="D194" i="14"/>
  <c r="D186" i="14"/>
  <c r="D178" i="14"/>
  <c r="D175" i="14"/>
  <c r="D228" i="14"/>
  <c r="D220" i="14"/>
  <c r="D212" i="14"/>
  <c r="D274" i="14"/>
  <c r="D266" i="14"/>
  <c r="D258" i="14"/>
  <c r="D250" i="14"/>
  <c r="D319" i="14"/>
  <c r="D316" i="14"/>
  <c r="D315" i="14"/>
  <c r="D312" i="14"/>
  <c r="D311" i="14"/>
  <c r="D308" i="14"/>
  <c r="D307" i="14"/>
  <c r="D304" i="14"/>
  <c r="D303" i="14"/>
  <c r="D300" i="14"/>
  <c r="D299" i="14"/>
  <c r="D296" i="14"/>
  <c r="D295" i="14"/>
  <c r="D293" i="14"/>
  <c r="D326" i="14"/>
  <c r="D392" i="14"/>
  <c r="D376" i="14"/>
  <c r="D364" i="14"/>
  <c r="D430" i="14"/>
  <c r="D426" i="14"/>
  <c r="D422" i="14"/>
  <c r="D418" i="14"/>
  <c r="D414" i="14"/>
  <c r="D402" i="14"/>
  <c r="D464" i="14"/>
  <c r="D525" i="14"/>
  <c r="D517" i="14"/>
  <c r="D555" i="14"/>
  <c r="D617" i="14"/>
  <c r="D609" i="14"/>
  <c r="D601" i="14"/>
  <c r="D593" i="14"/>
  <c r="D637" i="14"/>
  <c r="D630" i="14"/>
  <c r="D681" i="14"/>
  <c r="D672" i="14"/>
  <c r="D730" i="14"/>
  <c r="D722" i="14"/>
  <c r="D714" i="14"/>
  <c r="D706" i="14"/>
  <c r="D779" i="22"/>
  <c r="D1420" i="22"/>
  <c r="D46" i="21"/>
  <c r="D59" i="21"/>
  <c r="D145" i="21"/>
  <c r="D161" i="21"/>
  <c r="D180" i="21"/>
  <c r="D399" i="22"/>
  <c r="D85" i="22"/>
  <c r="D77" i="22"/>
  <c r="D122" i="22"/>
  <c r="D114" i="22"/>
  <c r="D113" i="22"/>
  <c r="D111" i="22"/>
  <c r="D102" i="22"/>
  <c r="D160" i="22"/>
  <c r="D152" i="22"/>
  <c r="D144" i="22"/>
  <c r="D136" i="22"/>
  <c r="D202" i="22"/>
  <c r="D198" i="22"/>
  <c r="D194" i="22"/>
  <c r="D190" i="22"/>
  <c r="D186" i="22"/>
  <c r="D178" i="22"/>
  <c r="D251" i="22"/>
  <c r="D313" i="22"/>
  <c r="D305" i="22"/>
  <c r="D297" i="22"/>
  <c r="D289" i="22"/>
  <c r="D395" i="22"/>
  <c r="D431" i="22"/>
  <c r="D427" i="22"/>
  <c r="D423" i="22"/>
  <c r="D419" i="22"/>
  <c r="D415" i="22"/>
  <c r="D411" i="22"/>
  <c r="D407" i="22"/>
  <c r="D469" i="22"/>
  <c r="D449" i="22"/>
  <c r="D440" i="22"/>
  <c r="D509" i="22"/>
  <c r="D525" i="22"/>
  <c r="D517" i="22"/>
  <c r="D558" i="22"/>
  <c r="D654" i="22"/>
  <c r="D646" i="22"/>
  <c r="D638" i="22"/>
  <c r="D630" i="22"/>
  <c r="D730" i="22"/>
  <c r="D722" i="22"/>
  <c r="D714" i="22"/>
  <c r="D706" i="22"/>
  <c r="D811" i="22"/>
  <c r="D809" i="22"/>
  <c r="D799" i="22"/>
  <c r="D791" i="22"/>
  <c r="D783" i="22"/>
  <c r="D962" i="22"/>
  <c r="D958" i="22"/>
  <c r="D954" i="22"/>
  <c r="D950" i="22"/>
  <c r="D946" i="22"/>
  <c r="D942" i="22"/>
  <c r="D934" i="22"/>
  <c r="D1003" i="22"/>
  <c r="D1002" i="22"/>
  <c r="D1239" i="22"/>
  <c r="D1295" i="22"/>
  <c r="D1289" i="22"/>
  <c r="D1281" i="22"/>
  <c r="D1360" i="22"/>
  <c r="D1356" i="22"/>
  <c r="D1352" i="22"/>
  <c r="D1588" i="22"/>
  <c r="D1580" i="22"/>
  <c r="D1646" i="22"/>
  <c r="D1642" i="22"/>
  <c r="D1638" i="22"/>
  <c r="D1634" i="22"/>
  <c r="D1630" i="22"/>
  <c r="D1626" i="22"/>
  <c r="D1618" i="22"/>
  <c r="D1694" i="22"/>
  <c r="D1756" i="22"/>
  <c r="D1745" i="22"/>
  <c r="D1737" i="22"/>
  <c r="D1790" i="22"/>
  <c r="D1789" i="22"/>
  <c r="D1786" i="22"/>
  <c r="D1785" i="22"/>
  <c r="D1782" i="22"/>
  <c r="D1781" i="22"/>
  <c r="D1779" i="22"/>
  <c r="D1771" i="22"/>
  <c r="D1838" i="22"/>
  <c r="D1874" i="22"/>
  <c r="D1872" i="22"/>
  <c r="D1866" i="22"/>
  <c r="D1858" i="22"/>
  <c r="D1850" i="22"/>
  <c r="D84" i="22"/>
  <c r="D76" i="22"/>
  <c r="D72" i="22"/>
  <c r="D68" i="22"/>
  <c r="D64" i="22"/>
  <c r="D119" i="22"/>
  <c r="D110" i="22"/>
  <c r="D99" i="22"/>
  <c r="D163" i="22"/>
  <c r="D157" i="22"/>
  <c r="D149" i="22"/>
  <c r="D141" i="22"/>
  <c r="D183" i="22"/>
  <c r="D175" i="22"/>
  <c r="D250" i="22"/>
  <c r="D312" i="22"/>
  <c r="D304" i="22"/>
  <c r="D296" i="22"/>
  <c r="D288" i="22"/>
  <c r="D430" i="22"/>
  <c r="D426" i="22"/>
  <c r="D422" i="22"/>
  <c r="D418" i="22"/>
  <c r="D414" i="22"/>
  <c r="D410" i="22"/>
  <c r="D406" i="22"/>
  <c r="D468" i="22"/>
  <c r="D448" i="22"/>
  <c r="D531" i="22"/>
  <c r="D524" i="22"/>
  <c r="D516" i="22"/>
  <c r="D582" i="22"/>
  <c r="D578" i="22"/>
  <c r="D574" i="22"/>
  <c r="D570" i="22"/>
  <c r="D566" i="22"/>
  <c r="D555" i="22"/>
  <c r="D659" i="22"/>
  <c r="D651" i="22"/>
  <c r="D643" i="22"/>
  <c r="D635" i="22"/>
  <c r="D735" i="22"/>
  <c r="D727" i="22"/>
  <c r="D719" i="22"/>
  <c r="D711" i="22"/>
  <c r="D810" i="22"/>
  <c r="D798" i="22"/>
  <c r="D790" i="22"/>
  <c r="D782" i="22"/>
  <c r="D851" i="22"/>
  <c r="D848" i="22"/>
  <c r="D847" i="22"/>
  <c r="D844" i="22"/>
  <c r="D843" i="22"/>
  <c r="D840" i="22"/>
  <c r="D839" i="22"/>
  <c r="D836" i="22"/>
  <c r="D835" i="22"/>
  <c r="D832" i="22"/>
  <c r="D831" i="22"/>
  <c r="D828" i="22"/>
  <c r="D827" i="22"/>
  <c r="D824" i="22"/>
  <c r="D939" i="22"/>
  <c r="D1238" i="22"/>
  <c r="D1304" i="22"/>
  <c r="D1300" i="22"/>
  <c r="D1296" i="22"/>
  <c r="D1288" i="22"/>
  <c r="D1280" i="22"/>
  <c r="D1610" i="22"/>
  <c r="D1609" i="22"/>
  <c r="D1606" i="22"/>
  <c r="D1605" i="22"/>
  <c r="D1602" i="22"/>
  <c r="D1601" i="22"/>
  <c r="D1598" i="22"/>
  <c r="D1597" i="22"/>
  <c r="D1594" i="22"/>
  <c r="D1593" i="22"/>
  <c r="D1585" i="22"/>
  <c r="D1623" i="22"/>
  <c r="D1697" i="22"/>
  <c r="D1761" i="22"/>
  <c r="D1753" i="22"/>
  <c r="D1751" i="22"/>
  <c r="D1744" i="22"/>
  <c r="D1736" i="22"/>
  <c r="D1778" i="22"/>
  <c r="D1770" i="22"/>
  <c r="D1839" i="22"/>
  <c r="D1871" i="22"/>
  <c r="D1863" i="22"/>
  <c r="D1855" i="22"/>
  <c r="D1847"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1577" i="22"/>
  <c r="D89" i="22"/>
  <c r="D81" i="22"/>
  <c r="D61" i="22"/>
  <c r="D125" i="22"/>
  <c r="D118" i="22"/>
  <c r="D106" i="22"/>
  <c r="D98" i="22"/>
  <c r="D167" i="22"/>
  <c r="D164" i="22"/>
  <c r="D156" i="22"/>
  <c r="D148" i="22"/>
  <c r="D140" i="22"/>
  <c r="D182" i="22"/>
  <c r="D174" i="22"/>
  <c r="D281" i="22"/>
  <c r="D278" i="22"/>
  <c r="D277" i="22"/>
  <c r="D274" i="22"/>
  <c r="D273" i="22"/>
  <c r="D270" i="22"/>
  <c r="D269" i="22"/>
  <c r="D266" i="22"/>
  <c r="D265" i="22"/>
  <c r="D262" i="22"/>
  <c r="D261" i="22"/>
  <c r="D258" i="22"/>
  <c r="D255" i="22"/>
  <c r="D317" i="22"/>
  <c r="D309" i="22"/>
  <c r="D301" i="22"/>
  <c r="D293" i="22"/>
  <c r="D403" i="22"/>
  <c r="D464" i="22"/>
  <c r="D463" i="22"/>
  <c r="D461" i="22"/>
  <c r="D457" i="22"/>
  <c r="D453" i="22"/>
  <c r="D451" i="22"/>
  <c r="D444" i="22"/>
  <c r="D544" i="22"/>
  <c r="D540" i="22"/>
  <c r="D536" i="22"/>
  <c r="D532" i="22"/>
  <c r="D521" i="22"/>
  <c r="D563" i="22"/>
  <c r="D554" i="22"/>
  <c r="D658" i="22"/>
  <c r="D650" i="22"/>
  <c r="D642" i="22"/>
  <c r="D634" i="22"/>
  <c r="D821" i="22"/>
  <c r="D938" i="22"/>
  <c r="D1293" i="22"/>
  <c r="D1285" i="22"/>
  <c r="D1277" i="22"/>
  <c r="D1383" i="22"/>
  <c r="D1381" i="22"/>
  <c r="D1380" i="22"/>
  <c r="D1379" i="22"/>
  <c r="D1377" i="22"/>
  <c r="D1376" i="22"/>
  <c r="D1375" i="22"/>
  <c r="D1373" i="22"/>
  <c r="D1372" i="22"/>
  <c r="D1371" i="22"/>
  <c r="D1369" i="22"/>
  <c r="D1368" i="22"/>
  <c r="D1367" i="22"/>
  <c r="D1365" i="22"/>
  <c r="D1608" i="22"/>
  <c r="D1604" i="22"/>
  <c r="D1600" i="22"/>
  <c r="D1596" i="22"/>
  <c r="D1592" i="22"/>
  <c r="D1584" i="22"/>
  <c r="D1622" i="22"/>
  <c r="D1725" i="22"/>
  <c r="D1722" i="22"/>
  <c r="D1721" i="22"/>
  <c r="D1718" i="22"/>
  <c r="D1717" i="22"/>
  <c r="D1714" i="22"/>
  <c r="D1713" i="22"/>
  <c r="D1710" i="22"/>
  <c r="D1706" i="22"/>
  <c r="D1702" i="22"/>
  <c r="D1698" i="22"/>
  <c r="D1760" i="22"/>
  <c r="D1752" i="22"/>
  <c r="D1741" i="22"/>
  <c r="D1733" i="22"/>
  <c r="D1793" i="22"/>
  <c r="D1775" i="22"/>
  <c r="D1870" i="22"/>
  <c r="D1862" i="22"/>
  <c r="D1854" i="22"/>
  <c r="D1846" i="22"/>
  <c r="D34" i="21"/>
  <c r="D36" i="21"/>
  <c r="D48" i="21"/>
  <c r="D63" i="21"/>
  <c r="D64" i="21"/>
  <c r="D71" i="21"/>
  <c r="D72" i="21"/>
  <c r="D79" i="21"/>
  <c r="D80" i="21"/>
  <c r="D87" i="21"/>
  <c r="D88" i="21"/>
  <c r="D98" i="21"/>
  <c r="D99" i="21"/>
  <c r="D106" i="21"/>
  <c r="D107" i="21"/>
  <c r="D114" i="21"/>
  <c r="D115" i="21"/>
  <c r="D122" i="21"/>
  <c r="D123" i="21"/>
  <c r="D135" i="21"/>
  <c r="D143" i="21"/>
  <c r="D151" i="21"/>
  <c r="D159" i="21"/>
  <c r="D167" i="21"/>
  <c r="D178" i="21"/>
  <c r="D186" i="21"/>
  <c r="D192" i="21"/>
  <c r="D196" i="21"/>
  <c r="D200" i="21"/>
  <c r="D204" i="21"/>
  <c r="D211" i="21"/>
  <c r="D215" i="21"/>
  <c r="D219" i="21"/>
  <c r="D222" i="21"/>
  <c r="D639" i="22"/>
  <c r="D631" i="22"/>
  <c r="D731" i="22"/>
  <c r="D723" i="22"/>
  <c r="D715" i="22"/>
  <c r="D707" i="22"/>
  <c r="D812" i="22"/>
  <c r="D806" i="22"/>
  <c r="D805" i="22"/>
  <c r="D802" i="22"/>
  <c r="D801" i="22"/>
  <c r="D800" i="22"/>
  <c r="D794" i="22"/>
  <c r="D793" i="22"/>
  <c r="D792" i="22"/>
  <c r="D786" i="22"/>
  <c r="D820" i="22"/>
  <c r="D935" i="22"/>
  <c r="D1190" i="22"/>
  <c r="D1186" i="22"/>
  <c r="D1182" i="22"/>
  <c r="D1178" i="22"/>
  <c r="D1174" i="22"/>
  <c r="D1170" i="22"/>
  <c r="D1166" i="22"/>
  <c r="D1162" i="22"/>
  <c r="D1266" i="22"/>
  <c r="D1262" i="22"/>
  <c r="D1258" i="22"/>
  <c r="D1254" i="22"/>
  <c r="D1250" i="22"/>
  <c r="D1246" i="22"/>
  <c r="D1242" i="22"/>
  <c r="D1589" i="22"/>
  <c r="D1581" i="22"/>
  <c r="D1619"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60" i="21"/>
  <c r="D568" i="21"/>
  <c r="D576" i="21"/>
  <c r="D584" i="21"/>
  <c r="D629" i="21"/>
  <c r="D631" i="21"/>
  <c r="D637" i="21"/>
  <c r="D639" i="21"/>
  <c r="D645" i="21"/>
  <c r="D647" i="21"/>
  <c r="D653" i="21"/>
  <c r="D655" i="21"/>
  <c r="D659" i="21"/>
  <c r="D678" i="21"/>
  <c r="D682" i="21"/>
  <c r="D687" i="21"/>
  <c r="D706" i="21"/>
  <c r="D721" i="21"/>
  <c r="D729" i="21"/>
  <c r="D737" i="21"/>
  <c r="D745" i="21"/>
  <c r="D753" i="21"/>
  <c r="D761" i="21"/>
  <c r="D769"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50" i="21"/>
  <c r="D258" i="21"/>
  <c r="D266" i="21"/>
  <c r="D274" i="21"/>
  <c r="D293" i="21"/>
  <c r="D301" i="21"/>
  <c r="D309" i="21"/>
  <c r="D317" i="21"/>
  <c r="D330" i="21"/>
  <c r="D338" i="21"/>
  <c r="D346" i="21"/>
  <c r="D354" i="21"/>
  <c r="D365" i="21"/>
  <c r="D373" i="21"/>
  <c r="D381" i="21"/>
  <c r="D389"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201" i="21"/>
  <c r="D1205" i="21"/>
  <c r="D1210"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239" i="21"/>
  <c r="D251" i="21"/>
  <c r="D259" i="21"/>
  <c r="D267" i="21"/>
  <c r="D275"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52" i="5"/>
  <c r="D91" i="5"/>
  <c r="D1671" i="21"/>
  <c r="D1679" i="21"/>
  <c r="D1687" i="21"/>
  <c r="D129" i="18"/>
  <c r="D204"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615" i="21"/>
  <c r="D1877" i="22"/>
  <c r="D1876" i="22"/>
  <c r="D1869" i="22"/>
  <c r="D1868" i="22"/>
  <c r="D1861" i="22"/>
  <c r="D1860" i="22"/>
  <c r="D1853" i="22"/>
  <c r="D1852" i="22"/>
  <c r="D1845" i="22"/>
  <c r="D1844" i="22"/>
  <c r="D1865" i="22"/>
  <c r="D1864" i="22"/>
  <c r="D1857" i="22"/>
  <c r="D1856" i="22"/>
  <c r="D1849" i="22"/>
  <c r="D1848" i="22"/>
  <c r="D1777" i="22"/>
  <c r="D1776" i="22"/>
  <c r="D1769" i="22"/>
  <c r="D1768" i="22"/>
  <c r="D1800" i="22"/>
  <c r="D1799" i="22"/>
  <c r="D1796" i="22"/>
  <c r="D1795" i="22"/>
  <c r="D1747" i="22"/>
  <c r="D1746" i="22"/>
  <c r="D1739" i="22"/>
  <c r="D1738" i="22"/>
  <c r="D1731" i="22"/>
  <c r="D1730" i="22"/>
  <c r="D1763" i="22"/>
  <c r="D1762" i="22"/>
  <c r="D1755" i="22"/>
  <c r="D1754" i="22"/>
  <c r="D1693" i="22"/>
  <c r="D1692" i="22"/>
  <c r="D1724" i="22"/>
  <c r="D1723" i="22"/>
  <c r="D1720" i="22"/>
  <c r="D1719" i="22"/>
  <c r="D1716" i="22"/>
  <c r="D1715" i="22"/>
  <c r="D1712" i="22"/>
  <c r="D1711" i="22"/>
  <c r="D1708" i="22"/>
  <c r="D1707" i="22"/>
  <c r="D1704" i="22"/>
  <c r="D1703" i="22"/>
  <c r="D1700" i="22"/>
  <c r="D1699" i="22"/>
  <c r="D1709" i="22"/>
  <c r="D1705" i="22"/>
  <c r="D1701" i="22"/>
  <c r="D1696" i="22"/>
  <c r="D1686" i="22"/>
  <c r="D1649" i="22"/>
  <c r="D1645" i="22"/>
  <c r="D1641" i="22"/>
  <c r="D1637" i="22"/>
  <c r="D1633" i="22"/>
  <c r="D1629" i="22"/>
  <c r="D1625" i="22"/>
  <c r="D1624" i="22"/>
  <c r="D1617" i="22"/>
  <c r="D1616" i="22"/>
  <c r="D1621" i="22"/>
  <c r="D1620" i="22"/>
  <c r="D1587" i="22"/>
  <c r="D1586" i="22"/>
  <c r="D1579" i="22"/>
  <c r="D1578" i="22"/>
  <c r="D1611" i="22"/>
  <c r="D1607" i="22"/>
  <c r="D1603" i="22"/>
  <c r="D1599" i="22"/>
  <c r="D1595" i="22"/>
  <c r="D1591" i="22"/>
  <c r="D1590" i="22"/>
  <c r="D1583" i="22"/>
  <c r="D1582" i="22"/>
  <c r="D1572" i="22"/>
  <c r="D1573" i="22"/>
  <c r="D1534" i="22"/>
  <c r="D1535" i="22"/>
  <c r="D1497" i="22"/>
  <c r="D1496" i="22"/>
  <c r="D1459" i="22"/>
  <c r="D1421" i="22"/>
  <c r="D1359" i="22"/>
  <c r="D1355" i="22"/>
  <c r="D1351" i="22"/>
  <c r="D1350" i="22"/>
  <c r="D1382" i="22"/>
  <c r="D1378" i="22"/>
  <c r="D1374" i="22"/>
  <c r="D1370" i="22"/>
  <c r="D1366" i="22"/>
  <c r="D1344" i="22"/>
  <c r="D1291" i="22"/>
  <c r="D1290" i="22"/>
  <c r="D1283" i="22"/>
  <c r="D1282" i="22"/>
  <c r="D1275" i="22"/>
  <c r="D1274" i="22"/>
  <c r="D1306" i="22"/>
  <c r="D1305" i="22"/>
  <c r="D1302" i="22"/>
  <c r="D1301" i="22"/>
  <c r="D1298" i="22"/>
  <c r="D1297" i="22"/>
  <c r="D1237" i="22"/>
  <c r="D1236" i="22"/>
  <c r="D1268" i="22"/>
  <c r="D1267" i="22"/>
  <c r="D1264" i="22"/>
  <c r="D1263" i="22"/>
  <c r="D1260" i="22"/>
  <c r="D1259" i="22"/>
  <c r="D1256" i="22"/>
  <c r="D1255" i="22"/>
  <c r="D1252" i="22"/>
  <c r="D1251" i="22"/>
  <c r="D1248" i="22"/>
  <c r="D1247" i="22"/>
  <c r="D1244" i="22"/>
  <c r="D1243" i="22"/>
  <c r="D1241" i="22"/>
  <c r="D1240" i="22"/>
  <c r="D1231" i="22"/>
  <c r="D1230" i="22"/>
  <c r="D1193" i="22"/>
  <c r="D1189" i="22"/>
  <c r="D1185" i="22"/>
  <c r="D1181" i="22"/>
  <c r="D1177" i="22"/>
  <c r="D1173" i="22"/>
  <c r="D1169" i="22"/>
  <c r="D1165" i="22"/>
  <c r="D1161" i="22"/>
  <c r="D1160" i="22"/>
  <c r="D1155" i="22"/>
  <c r="D1078" i="22"/>
  <c r="D1079" i="22"/>
  <c r="D1041" i="22"/>
  <c r="D965" i="22"/>
  <c r="D961" i="22"/>
  <c r="D957" i="22"/>
  <c r="D953" i="22"/>
  <c r="D949" i="22"/>
  <c r="D945" i="22"/>
  <c r="D941" i="22"/>
  <c r="D940" i="22"/>
  <c r="D933" i="22"/>
  <c r="D932" i="22"/>
  <c r="D936" i="22"/>
  <c r="D889" i="22"/>
  <c r="D888" i="22"/>
  <c r="D819" i="22"/>
  <c r="D818" i="22"/>
  <c r="D850" i="22"/>
  <c r="D849" i="22"/>
  <c r="D846" i="22"/>
  <c r="D845" i="22"/>
  <c r="D842" i="22"/>
  <c r="D841" i="22"/>
  <c r="D838" i="22"/>
  <c r="D837" i="22"/>
  <c r="D834" i="22"/>
  <c r="D833" i="22"/>
  <c r="D830" i="22"/>
  <c r="D829" i="22"/>
  <c r="D826" i="22"/>
  <c r="D825" i="22"/>
  <c r="D808" i="22"/>
  <c r="D797" i="22"/>
  <c r="D796" i="22"/>
  <c r="D789" i="22"/>
  <c r="D788" i="22"/>
  <c r="D781" i="22"/>
  <c r="D780" i="22"/>
  <c r="D804" i="22"/>
  <c r="D803" i="22"/>
  <c r="D785" i="22"/>
  <c r="D784" i="22"/>
  <c r="D774" i="22"/>
  <c r="D775" i="22"/>
  <c r="D737" i="22"/>
  <c r="D736" i="22"/>
  <c r="D729" i="22"/>
  <c r="D728" i="22"/>
  <c r="D721" i="22"/>
  <c r="D720" i="22"/>
  <c r="D713" i="22"/>
  <c r="D712" i="22"/>
  <c r="D705" i="22"/>
  <c r="D704" i="22"/>
  <c r="D699" i="22"/>
  <c r="D698" i="22"/>
  <c r="D661" i="22"/>
  <c r="D660" i="22"/>
  <c r="D653" i="22"/>
  <c r="D652" i="22"/>
  <c r="D645" i="22"/>
  <c r="D644" i="22"/>
  <c r="D637" i="22"/>
  <c r="D636" i="22"/>
  <c r="D629" i="22"/>
  <c r="D628" i="22"/>
  <c r="D623" i="22"/>
  <c r="D622" i="22"/>
  <c r="D560" i="22"/>
  <c r="D553" i="22"/>
  <c r="D552" i="22"/>
  <c r="D584" i="22"/>
  <c r="D583" i="22"/>
  <c r="D580" i="22"/>
  <c r="D579" i="22"/>
  <c r="D576" i="22"/>
  <c r="D575" i="22"/>
  <c r="D572" i="22"/>
  <c r="D571" i="22"/>
  <c r="D568" i="22"/>
  <c r="D567" i="22"/>
  <c r="D557" i="22"/>
  <c r="D556" i="22"/>
  <c r="D546" i="22"/>
  <c r="D545" i="22"/>
  <c r="D542" i="22"/>
  <c r="D541" i="22"/>
  <c r="D538" i="22"/>
  <c r="D537" i="22"/>
  <c r="D534" i="22"/>
  <c r="D533" i="22"/>
  <c r="D523" i="22"/>
  <c r="D522" i="22"/>
  <c r="D515" i="22"/>
  <c r="D514" i="22"/>
  <c r="D547" i="22"/>
  <c r="D543" i="22"/>
  <c r="D539" i="22"/>
  <c r="D535" i="22"/>
  <c r="D530" i="22"/>
  <c r="D529" i="22"/>
  <c r="D526" i="22"/>
  <c r="D519" i="22"/>
  <c r="D518" i="22"/>
  <c r="D508" i="22"/>
  <c r="D439" i="22"/>
  <c r="D438" i="22"/>
  <c r="D462" i="22"/>
  <c r="D447" i="22"/>
  <c r="D446" i="22"/>
  <c r="D445" i="22"/>
  <c r="D401" i="22"/>
  <c r="D400" i="22"/>
  <c r="D433" i="22"/>
  <c r="D429" i="22"/>
  <c r="D425" i="22"/>
  <c r="D421" i="22"/>
  <c r="D417" i="22"/>
  <c r="D413" i="22"/>
  <c r="D409" i="22"/>
  <c r="D405" i="22"/>
  <c r="D404" i="22"/>
  <c r="D356" i="22"/>
  <c r="D319" i="22"/>
  <c r="D318" i="22"/>
  <c r="D311" i="22"/>
  <c r="D310" i="22"/>
  <c r="D303" i="22"/>
  <c r="D302" i="22"/>
  <c r="D295" i="22"/>
  <c r="D294" i="22"/>
  <c r="D287" i="22"/>
  <c r="D286" i="22"/>
  <c r="D315" i="22"/>
  <c r="D314" i="22"/>
  <c r="D307" i="22"/>
  <c r="D306" i="22"/>
  <c r="D299" i="22"/>
  <c r="D298" i="22"/>
  <c r="D291" i="22"/>
  <c r="D290" i="22"/>
  <c r="D280" i="22"/>
  <c r="D279" i="22"/>
  <c r="D276" i="22"/>
  <c r="D275" i="22"/>
  <c r="D272" i="22"/>
  <c r="D271" i="22"/>
  <c r="D268" i="22"/>
  <c r="D267" i="22"/>
  <c r="D264" i="22"/>
  <c r="D263" i="22"/>
  <c r="D260" i="22"/>
  <c r="D259" i="22"/>
  <c r="D256" i="22"/>
  <c r="D249" i="22"/>
  <c r="D248" i="22"/>
  <c r="D257" i="22"/>
  <c r="D243" i="22"/>
  <c r="D242" i="22"/>
  <c r="D181" i="22"/>
  <c r="D180" i="22"/>
  <c r="D173" i="22"/>
  <c r="D172" i="22"/>
  <c r="D205" i="22"/>
  <c r="D201" i="22"/>
  <c r="D197" i="22"/>
  <c r="D193" i="22"/>
  <c r="D189" i="22"/>
  <c r="D185" i="22"/>
  <c r="D184" i="22"/>
  <c r="D177" i="22"/>
  <c r="D176" i="22"/>
  <c r="D159" i="22"/>
  <c r="D158" i="22"/>
  <c r="D151" i="22"/>
  <c r="D150" i="22"/>
  <c r="D143" i="22"/>
  <c r="D142" i="22"/>
  <c r="D135" i="22"/>
  <c r="D134" i="22"/>
  <c r="D166" i="22"/>
  <c r="D165" i="22"/>
  <c r="D128" i="22"/>
  <c r="D127" i="22"/>
  <c r="D117" i="22"/>
  <c r="D116" i="22"/>
  <c r="D105" i="22"/>
  <c r="D104" i="22"/>
  <c r="D97" i="22"/>
  <c r="D96" i="22"/>
  <c r="D129" i="22"/>
  <c r="D124" i="22"/>
  <c r="D123" i="22"/>
  <c r="D112" i="22"/>
  <c r="D87" i="22"/>
  <c r="D86" i="22"/>
  <c r="D79" i="22"/>
  <c r="D78" i="22"/>
  <c r="D59" i="22"/>
  <c r="D58" i="22"/>
  <c r="D74" i="22"/>
  <c r="D73" i="22"/>
  <c r="D70" i="22"/>
  <c r="D69" i="22"/>
  <c r="D66" i="22"/>
  <c r="D65" i="22"/>
  <c r="D63" i="22"/>
  <c r="D62" i="22"/>
  <c r="D52" i="22"/>
  <c r="D57" i="22"/>
  <c r="D95" i="22"/>
  <c r="D133" i="22"/>
  <c r="D931" i="22"/>
  <c r="D247" i="22"/>
  <c r="D1615" i="22"/>
  <c r="D171" i="22"/>
  <c r="D627" i="22"/>
  <c r="D703" i="22"/>
  <c r="D1235" i="22"/>
  <c r="D1273" i="22"/>
  <c r="D171" i="15"/>
  <c r="E171" i="15" s="1"/>
  <c r="D247" i="15"/>
  <c r="D95" i="15"/>
  <c r="D57" i="15"/>
  <c r="D285" i="15"/>
  <c r="D323" i="15"/>
  <c r="D729" i="14"/>
  <c r="D728" i="14"/>
  <c r="D721" i="14"/>
  <c r="D720" i="14"/>
  <c r="D713" i="14"/>
  <c r="D712" i="14"/>
  <c r="D705" i="14"/>
  <c r="D704" i="14"/>
  <c r="D737" i="14"/>
  <c r="D732" i="14"/>
  <c r="D725" i="14"/>
  <c r="D724" i="14"/>
  <c r="D717" i="14"/>
  <c r="D716" i="14"/>
  <c r="D709" i="14"/>
  <c r="D708" i="14"/>
  <c r="D667" i="14"/>
  <c r="D666" i="14"/>
  <c r="D699" i="14"/>
  <c r="D698" i="14"/>
  <c r="D697" i="14"/>
  <c r="D694" i="14"/>
  <c r="D693" i="14"/>
  <c r="D690" i="14"/>
  <c r="D689" i="14"/>
  <c r="D671" i="14"/>
  <c r="D670" i="14"/>
  <c r="D660" i="14"/>
  <c r="D652" i="14"/>
  <c r="D639" i="14"/>
  <c r="D659" i="14"/>
  <c r="D656" i="14"/>
  <c r="D655" i="14"/>
  <c r="D651" i="14"/>
  <c r="D648" i="14"/>
  <c r="D647" i="14"/>
  <c r="D644" i="14"/>
  <c r="D643" i="14"/>
  <c r="D640" i="14"/>
  <c r="D629" i="14"/>
  <c r="D628" i="14"/>
  <c r="D661" i="14"/>
  <c r="D657" i="14"/>
  <c r="D653" i="14"/>
  <c r="D649" i="14"/>
  <c r="D645" i="14"/>
  <c r="D641" i="14"/>
  <c r="D636" i="14"/>
  <c r="D635" i="14"/>
  <c r="D623" i="14"/>
  <c r="D622" i="14"/>
  <c r="D615" i="14"/>
  <c r="D614" i="14"/>
  <c r="D607" i="14"/>
  <c r="D606" i="14"/>
  <c r="D599" i="14"/>
  <c r="D598" i="14"/>
  <c r="D591" i="14"/>
  <c r="D590" i="14"/>
  <c r="D595" i="14"/>
  <c r="D594" i="14"/>
  <c r="D585" i="14"/>
  <c r="D581" i="14"/>
  <c r="D577" i="14"/>
  <c r="D573" i="14"/>
  <c r="D569" i="14"/>
  <c r="D565" i="14"/>
  <c r="D561" i="14"/>
  <c r="D560" i="14"/>
  <c r="D553" i="14"/>
  <c r="D552" i="14"/>
  <c r="D557" i="14"/>
  <c r="D556" i="14"/>
  <c r="D547" i="14"/>
  <c r="D546" i="14"/>
  <c r="D539" i="14"/>
  <c r="D538" i="14"/>
  <c r="D531" i="14"/>
  <c r="D530" i="14"/>
  <c r="D523" i="14"/>
  <c r="D522" i="14"/>
  <c r="D515" i="14"/>
  <c r="D514" i="14"/>
  <c r="D485" i="14"/>
  <c r="D484" i="14"/>
  <c r="D477" i="14"/>
  <c r="D476" i="14"/>
  <c r="D508" i="14"/>
  <c r="D507" i="14"/>
  <c r="D504" i="14"/>
  <c r="D503" i="14"/>
  <c r="D500" i="14"/>
  <c r="D499" i="14"/>
  <c r="D496" i="14"/>
  <c r="D495" i="14"/>
  <c r="D492" i="14"/>
  <c r="D491" i="14"/>
  <c r="D488" i="14"/>
  <c r="D481" i="14"/>
  <c r="D480" i="14"/>
  <c r="D471" i="14"/>
  <c r="D470" i="14"/>
  <c r="D463" i="14"/>
  <c r="D462" i="14"/>
  <c r="D455" i="14"/>
  <c r="D454" i="14"/>
  <c r="D447" i="14"/>
  <c r="D446" i="14"/>
  <c r="D439" i="14"/>
  <c r="D438" i="14"/>
  <c r="D467" i="14"/>
  <c r="D466" i="14"/>
  <c r="D459" i="14"/>
  <c r="D458" i="14"/>
  <c r="D451" i="14"/>
  <c r="D450" i="14"/>
  <c r="D443" i="14"/>
  <c r="D442" i="14"/>
  <c r="D433" i="14"/>
  <c r="D429" i="14"/>
  <c r="D425" i="14"/>
  <c r="D421" i="14"/>
  <c r="D417" i="14"/>
  <c r="D412" i="14"/>
  <c r="D411" i="14"/>
  <c r="D401" i="14"/>
  <c r="D400" i="14"/>
  <c r="D409" i="14"/>
  <c r="D408" i="14"/>
  <c r="D407" i="14"/>
  <c r="D405" i="14"/>
  <c r="D404" i="14"/>
  <c r="D395" i="14"/>
  <c r="D390" i="14"/>
  <c r="D389" i="14"/>
  <c r="D375" i="14"/>
  <c r="D374" i="14"/>
  <c r="D373" i="14"/>
  <c r="D370" i="14"/>
  <c r="D363" i="14"/>
  <c r="D362" i="14"/>
  <c r="D387" i="14"/>
  <c r="D386" i="14"/>
  <c r="D371" i="14"/>
  <c r="D378" i="14"/>
  <c r="D325" i="14"/>
  <c r="D324" i="14"/>
  <c r="D356" i="14"/>
  <c r="D355" i="14"/>
  <c r="D352" i="14"/>
  <c r="D351" i="14"/>
  <c r="D348" i="14"/>
  <c r="D347" i="14"/>
  <c r="D344" i="14"/>
  <c r="D343" i="14"/>
  <c r="D340" i="14"/>
  <c r="D339" i="14"/>
  <c r="D336" i="14"/>
  <c r="D335" i="14"/>
  <c r="D332" i="14"/>
  <c r="D331" i="14"/>
  <c r="D328" i="14"/>
  <c r="D287" i="14"/>
  <c r="D286" i="14"/>
  <c r="D318" i="14"/>
  <c r="D317" i="14"/>
  <c r="D314" i="14"/>
  <c r="D313" i="14"/>
  <c r="D310" i="14"/>
  <c r="D309" i="14"/>
  <c r="D306" i="14"/>
  <c r="D305" i="14"/>
  <c r="D302" i="14"/>
  <c r="D301" i="14"/>
  <c r="D298" i="14"/>
  <c r="D297" i="14"/>
  <c r="D294" i="14"/>
  <c r="D281" i="14"/>
  <c r="D280" i="14"/>
  <c r="D273" i="14"/>
  <c r="D272" i="14"/>
  <c r="D265" i="14"/>
  <c r="D264" i="14"/>
  <c r="D257" i="14"/>
  <c r="D256" i="14"/>
  <c r="D249" i="14"/>
  <c r="D248" i="14"/>
  <c r="D277" i="14"/>
  <c r="D276" i="14"/>
  <c r="D269" i="14"/>
  <c r="D268" i="14"/>
  <c r="D261" i="14"/>
  <c r="D260" i="14"/>
  <c r="D253" i="14"/>
  <c r="D252" i="14"/>
  <c r="D242" i="14"/>
  <c r="D241" i="14"/>
  <c r="D238" i="14"/>
  <c r="D237" i="14"/>
  <c r="D227" i="14"/>
  <c r="D226" i="14"/>
  <c r="D219" i="14"/>
  <c r="D218" i="14"/>
  <c r="D211" i="14"/>
  <c r="D210" i="14"/>
  <c r="D230" i="14"/>
  <c r="D223" i="14"/>
  <c r="D222" i="14"/>
  <c r="D215" i="14"/>
  <c r="D214" i="14"/>
  <c r="D173" i="14"/>
  <c r="D172" i="14"/>
  <c r="D205" i="14"/>
  <c r="D204" i="14"/>
  <c r="D197" i="14"/>
  <c r="D196" i="14"/>
  <c r="D189" i="14"/>
  <c r="D188" i="14"/>
  <c r="D181" i="14"/>
  <c r="D180" i="14"/>
  <c r="D166" i="14"/>
  <c r="D162" i="14"/>
  <c r="D158" i="14"/>
  <c r="D154" i="14"/>
  <c r="D150" i="14"/>
  <c r="D146" i="14"/>
  <c r="D142" i="14"/>
  <c r="D138" i="14"/>
  <c r="D134" i="14"/>
  <c r="D135" i="14"/>
  <c r="D129" i="14"/>
  <c r="D125" i="14"/>
  <c r="D121" i="14"/>
  <c r="D117" i="14"/>
  <c r="D113" i="14"/>
  <c r="D109" i="14"/>
  <c r="D104" i="14"/>
  <c r="D97" i="14"/>
  <c r="D96" i="14"/>
  <c r="D101" i="14"/>
  <c r="D100" i="14"/>
  <c r="D90" i="14"/>
  <c r="D89" i="14"/>
  <c r="D86" i="14"/>
  <c r="D85" i="14"/>
  <c r="D82" i="14"/>
  <c r="D81" i="14"/>
  <c r="D78" i="14"/>
  <c r="D77" i="14"/>
  <c r="D74" i="14"/>
  <c r="D73" i="14"/>
  <c r="D70" i="14"/>
  <c r="D69" i="14"/>
  <c r="D66" i="14"/>
  <c r="D65" i="14"/>
  <c r="D62" i="14"/>
  <c r="D61" i="14"/>
  <c r="D58" i="14"/>
  <c r="D29" i="14"/>
  <c r="D28" i="14"/>
  <c r="D21" i="14"/>
  <c r="D20" i="14"/>
  <c r="D52" i="14"/>
  <c r="D51" i="14"/>
  <c r="D48" i="14"/>
  <c r="D47" i="14"/>
  <c r="D44" i="14"/>
  <c r="D43" i="14"/>
  <c r="D40" i="14"/>
  <c r="D39" i="14"/>
  <c r="D36" i="14"/>
  <c r="D35" i="14"/>
  <c r="D32" i="14"/>
  <c r="D25" i="14"/>
  <c r="D24" i="14"/>
  <c r="D133" i="14"/>
  <c r="D19" i="13"/>
  <c r="D57" i="13"/>
  <c r="D95" i="13"/>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E1692" i="2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704" i="14"/>
  <c r="E703" i="14"/>
  <c r="E666" i="14" l="1"/>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8" i="9"/>
  <c r="P8" i="9"/>
  <c r="P9"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I55" i="9"/>
  <c r="O55" i="9"/>
  <c r="U55" i="9"/>
  <c r="AA55" i="9"/>
  <c r="AG55" i="9"/>
  <c r="AM55" i="9"/>
  <c r="AS55" i="9"/>
  <c r="AY55" i="9"/>
  <c r="BE55" i="9"/>
  <c r="BK55" i="9"/>
  <c r="BQ55" i="9"/>
  <c r="BW55" i="9"/>
  <c r="CC55" i="9"/>
  <c r="CI55" i="9"/>
  <c r="CO55" i="9"/>
  <c r="M96" i="9"/>
  <c r="Y96" i="9"/>
  <c r="AK96" i="9"/>
  <c r="AW96" i="9"/>
  <c r="Q55" i="9"/>
  <c r="AC55" i="9"/>
  <c r="AI55" i="9"/>
  <c r="AU55" i="9"/>
  <c r="BG55" i="9"/>
  <c r="BS55" i="9"/>
  <c r="CE55" i="9"/>
  <c r="CQ55" i="9"/>
  <c r="N96" i="9"/>
  <c r="Z96" i="9"/>
  <c r="AL96" i="9"/>
  <c r="AR96" i="9"/>
  <c r="L55" i="9"/>
  <c r="AD55" i="9"/>
  <c r="AV55" i="9"/>
  <c r="BH55" i="9"/>
  <c r="BT55" i="9"/>
  <c r="CF55" i="9"/>
  <c r="CR55" i="9"/>
  <c r="O96" i="9"/>
  <c r="AA96" i="9"/>
  <c r="AM96" i="9"/>
  <c r="G55" i="9"/>
  <c r="M55" i="9"/>
  <c r="Y55" i="9"/>
  <c r="AK55" i="9"/>
  <c r="AW55" i="9"/>
  <c r="BI55" i="9"/>
  <c r="BU55" i="9"/>
  <c r="CA55" i="9"/>
  <c r="CM55" i="9"/>
  <c r="E55" i="9"/>
  <c r="F96" i="9"/>
  <c r="L96" i="9"/>
  <c r="R96" i="9"/>
  <c r="X96" i="9"/>
  <c r="AD96" i="9"/>
  <c r="AJ96" i="9"/>
  <c r="AP96" i="9"/>
  <c r="AV96" i="9"/>
  <c r="J55" i="9"/>
  <c r="P55" i="9"/>
  <c r="V55" i="9"/>
  <c r="AB55" i="9"/>
  <c r="AH55" i="9"/>
  <c r="AN55" i="9"/>
  <c r="AT55" i="9"/>
  <c r="AZ55" i="9"/>
  <c r="BF55" i="9"/>
  <c r="BL55" i="9"/>
  <c r="BR55" i="9"/>
  <c r="BX55" i="9"/>
  <c r="CD55" i="9"/>
  <c r="CJ55" i="9"/>
  <c r="CP55" i="9"/>
  <c r="G96" i="9"/>
  <c r="S96" i="9"/>
  <c r="AE96" i="9"/>
  <c r="AQ96" i="9"/>
  <c r="K55" i="9"/>
  <c r="W55" i="9"/>
  <c r="AO55" i="9"/>
  <c r="BA55" i="9"/>
  <c r="BM55" i="9"/>
  <c r="BY55" i="9"/>
  <c r="CK55" i="9"/>
  <c r="H96" i="9"/>
  <c r="T96" i="9"/>
  <c r="AF96" i="9"/>
  <c r="F55" i="9"/>
  <c r="R55" i="9"/>
  <c r="X55" i="9"/>
  <c r="AJ55" i="9"/>
  <c r="AP55" i="9"/>
  <c r="BB55" i="9"/>
  <c r="BN55" i="9"/>
  <c r="BZ55" i="9"/>
  <c r="CL55" i="9"/>
  <c r="I96" i="9"/>
  <c r="U96" i="9"/>
  <c r="AG96" i="9"/>
  <c r="AS96" i="9"/>
  <c r="S55" i="9"/>
  <c r="AE55" i="9"/>
  <c r="AQ55" i="9"/>
  <c r="BC55" i="9"/>
  <c r="BO55" i="9"/>
  <c r="CG55" i="9"/>
  <c r="J96" i="9"/>
  <c r="P96" i="9"/>
  <c r="V96" i="9"/>
  <c r="AB96" i="9"/>
  <c r="AH96" i="9"/>
  <c r="AN96" i="9"/>
  <c r="AT96" i="9"/>
  <c r="H55" i="9"/>
  <c r="N55" i="9"/>
  <c r="T55" i="9"/>
  <c r="Z55" i="9"/>
  <c r="AF55" i="9"/>
  <c r="AL55" i="9"/>
  <c r="AR55" i="9"/>
  <c r="AX55" i="9"/>
  <c r="BD55" i="9"/>
  <c r="BJ55" i="9"/>
  <c r="BP55" i="9"/>
  <c r="BV55" i="9"/>
  <c r="CB55" i="9"/>
  <c r="CH55" i="9"/>
  <c r="CN55"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48" i="14"/>
  <c r="I1692" i="21"/>
  <c r="H400" i="14"/>
  <c r="J666" i="14"/>
  <c r="H96" i="14"/>
  <c r="F666" i="14"/>
  <c r="H248" i="14"/>
  <c r="I134" i="14"/>
  <c r="G172" i="15"/>
  <c r="F324" i="14"/>
  <c r="G400" i="14"/>
  <c r="H628" i="14"/>
  <c r="F286" i="14"/>
  <c r="I400" i="14"/>
  <c r="F172" i="14"/>
  <c r="I324" i="14"/>
  <c r="J324" i="14"/>
  <c r="H666" i="14"/>
  <c r="I286" i="14"/>
  <c r="I628" i="14"/>
  <c r="I362" i="14"/>
  <c r="J514" i="14"/>
  <c r="H134" i="15"/>
  <c r="F362" i="14"/>
  <c r="F628" i="14"/>
  <c r="H172" i="14"/>
  <c r="H704" i="14"/>
  <c r="H134" i="14"/>
  <c r="J1882" i="22"/>
  <c r="I1882" i="22"/>
  <c r="F248" i="14"/>
  <c r="J134" i="15"/>
  <c r="J362" i="14"/>
  <c r="H172" i="15"/>
  <c r="I96" i="14"/>
  <c r="J172" i="14"/>
  <c r="J286" i="14"/>
  <c r="F1882" i="22"/>
  <c r="J172" i="15"/>
  <c r="G362" i="14"/>
  <c r="G134" i="14"/>
  <c r="H1882" i="22"/>
  <c r="H210" i="14"/>
  <c r="F400" i="14"/>
  <c r="G96" i="14"/>
  <c r="F172" i="15"/>
  <c r="J96" i="14"/>
  <c r="G248" i="14"/>
  <c r="G514" i="14"/>
  <c r="G628" i="14"/>
  <c r="J134" i="14"/>
  <c r="J210" i="14"/>
  <c r="F134" i="14"/>
  <c r="G1882" i="22"/>
  <c r="F514" i="14"/>
  <c r="J628" i="14"/>
  <c r="J704" i="14"/>
  <c r="F210" i="14"/>
  <c r="I666" i="14"/>
  <c r="H324" i="14"/>
  <c r="F1692" i="21"/>
  <c r="F96" i="14"/>
  <c r="J1692" i="21"/>
  <c r="I134" i="15"/>
  <c r="G172" i="14"/>
  <c r="H1692" i="21"/>
  <c r="H514" i="14"/>
  <c r="G286" i="14"/>
  <c r="G210" i="14"/>
  <c r="G704" i="14"/>
  <c r="G324" i="14"/>
  <c r="F134" i="15"/>
  <c r="I172" i="15"/>
  <c r="I210" i="14"/>
  <c r="H286" i="14"/>
  <c r="G134" i="15"/>
  <c r="I514" i="14"/>
  <c r="I172" i="14"/>
  <c r="H362" i="14"/>
  <c r="G666" i="14"/>
  <c r="I704" i="14"/>
  <c r="J400" i="14"/>
  <c r="G1692" i="21"/>
  <c r="J248" i="14"/>
  <c r="F704"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008" i="22"/>
  <c r="F1426" i="22"/>
  <c r="H970" i="21"/>
  <c r="G1578" i="22"/>
  <c r="F1578" i="22"/>
  <c r="G1122" i="22"/>
  <c r="J1578" i="22"/>
  <c r="I1122" i="22"/>
  <c r="G1616" i="21"/>
  <c r="G1654" i="21"/>
  <c r="J1350" i="21"/>
  <c r="J1616" i="21"/>
  <c r="G970" i="21"/>
  <c r="J1540" i="22"/>
  <c r="F1654" i="21"/>
  <c r="F970" i="21"/>
  <c r="F970" i="22"/>
  <c r="F1122" i="22"/>
  <c r="J970" i="22"/>
  <c r="I1008" i="22"/>
  <c r="H1008" i="22"/>
  <c r="H970" i="22"/>
  <c r="H1426" i="22"/>
  <c r="H1844" i="22"/>
  <c r="I1578" i="22"/>
  <c r="H1654" i="21"/>
  <c r="F1616" i="21"/>
  <c r="I970" i="22"/>
  <c r="J1654" i="21"/>
  <c r="G1426" i="22"/>
  <c r="G970" i="22"/>
  <c r="I1540" i="22"/>
  <c r="F1350" i="21"/>
  <c r="I1350" i="21"/>
  <c r="I1844" i="22"/>
  <c r="I970" i="21"/>
  <c r="J1426" i="22"/>
  <c r="F1844" i="22"/>
  <c r="J1008" i="22"/>
  <c r="G1540" i="22"/>
  <c r="G1844" i="22"/>
  <c r="F1540" i="22"/>
  <c r="I1654" i="21"/>
  <c r="I1426" i="22"/>
  <c r="H1616" i="21"/>
  <c r="J970" i="21"/>
  <c r="F1008" i="22"/>
  <c r="G1350" i="21"/>
  <c r="I1616" i="21"/>
  <c r="H1350" i="21"/>
  <c r="H1122" i="22"/>
  <c r="H1578" i="22"/>
  <c r="J1844" i="22"/>
  <c r="H1540" i="22"/>
  <c r="J1122"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H10" i="9" s="1"/>
  <c r="P13" i="19"/>
  <c r="L29" i="19"/>
  <c r="O13" i="19"/>
  <c r="N13" i="19"/>
  <c r="M13" i="19"/>
  <c r="L13" i="19"/>
  <c r="L28" i="19" l="1"/>
  <c r="L26" i="19"/>
  <c r="L24" i="19"/>
  <c r="L18" i="19"/>
  <c r="L11" i="9"/>
  <c r="L25" i="19"/>
  <c r="L20" i="19"/>
  <c r="L19" i="19"/>
  <c r="Q10" i="9" l="1"/>
  <c r="L21" i="19"/>
  <c r="M10" i="9"/>
  <c r="M20" i="19" s="1"/>
  <c r="Q8" i="9"/>
  <c r="M8" i="9"/>
  <c r="M9" i="9"/>
  <c r="M19" i="19" s="1"/>
  <c r="Q9" i="9"/>
  <c r="M25" i="19" s="1"/>
  <c r="Q11" i="9" l="1"/>
  <c r="M26" i="19" s="1"/>
  <c r="M11" i="9"/>
  <c r="M21" i="19" s="1"/>
  <c r="M18" i="19"/>
  <c r="M24" i="19"/>
  <c r="J1426" i="21"/>
  <c r="J666" i="21"/>
  <c r="H20" i="14"/>
  <c r="J400" i="21"/>
  <c r="H1388" i="22"/>
  <c r="G20" i="14"/>
  <c r="F96" i="18"/>
  <c r="F1312" i="22"/>
  <c r="I286" i="21"/>
  <c r="G1502" i="22"/>
  <c r="I58" i="14"/>
  <c r="J1730" i="22"/>
  <c r="G742" i="21"/>
  <c r="H1160" i="21"/>
  <c r="I96" i="13"/>
  <c r="F552" i="22"/>
  <c r="F1730" i="22"/>
  <c r="J1692" i="22"/>
  <c r="H704" i="22"/>
  <c r="G1046" i="21"/>
  <c r="F856" i="21"/>
  <c r="H248" i="22"/>
  <c r="J514" i="21"/>
  <c r="G1046" i="22"/>
  <c r="F1388" i="22"/>
  <c r="G780" i="22"/>
  <c r="H58" i="21"/>
  <c r="J20" i="18"/>
  <c r="G1122" i="21"/>
  <c r="J1768" i="22"/>
  <c r="H1502" i="22"/>
  <c r="G1730" i="22"/>
  <c r="F476" i="22"/>
  <c r="F438" i="22"/>
  <c r="F210" i="5"/>
  <c r="H628" i="22"/>
  <c r="J1464" i="22"/>
  <c r="F58" i="21"/>
  <c r="F1198" i="21"/>
  <c r="I134" i="5"/>
  <c r="G210" i="21"/>
  <c r="J1046" i="22"/>
  <c r="J248" i="22"/>
  <c r="F742" i="21"/>
  <c r="I1122" i="21"/>
  <c r="G20" i="5"/>
  <c r="I438" i="21"/>
  <c r="H932" i="21"/>
  <c r="G590" i="22"/>
  <c r="J1616" i="22"/>
  <c r="I1806" i="22"/>
  <c r="H134" i="22"/>
  <c r="I894" i="22"/>
  <c r="I628" i="21"/>
  <c r="H20" i="18"/>
  <c r="I666" i="21"/>
  <c r="H96" i="22"/>
  <c r="G1198" i="22"/>
  <c r="J58" i="15"/>
  <c r="I1312" i="22"/>
  <c r="G172" i="18"/>
  <c r="J704" i="22"/>
  <c r="H1540" i="21"/>
  <c r="I590" i="21"/>
  <c r="G58" i="22"/>
  <c r="G552" i="22"/>
  <c r="J324" i="15"/>
  <c r="G932" i="22"/>
  <c r="F1236" i="21"/>
  <c r="I400" i="22"/>
  <c r="G1502" i="21"/>
  <c r="F438" i="14"/>
  <c r="I58" i="21"/>
  <c r="H286" i="21"/>
  <c r="H210" i="21"/>
  <c r="H1388" i="21"/>
  <c r="F20" i="13"/>
  <c r="G438" i="21"/>
  <c r="J58" i="22"/>
  <c r="J134" i="18"/>
  <c r="F514" i="21"/>
  <c r="G818" i="22"/>
  <c r="F362" i="21"/>
  <c r="F1464" i="21"/>
  <c r="H856" i="22"/>
  <c r="H1464" i="22"/>
  <c r="F1768" i="22"/>
  <c r="G1008" i="21"/>
  <c r="J1274" i="21"/>
  <c r="I476" i="14"/>
  <c r="G476" i="21"/>
  <c r="H1768" i="22"/>
  <c r="G1312" i="21"/>
  <c r="H210" i="15"/>
  <c r="J96" i="13"/>
  <c r="I1350" i="22"/>
  <c r="H58" i="14"/>
  <c r="J58" i="18"/>
  <c r="I172" i="21"/>
  <c r="G20" i="13"/>
  <c r="H1046" i="21"/>
  <c r="F248" i="22"/>
  <c r="F20" i="5"/>
  <c r="H590" i="21"/>
  <c r="G552" i="21"/>
  <c r="I1464" i="22"/>
  <c r="I1274" i="22"/>
  <c r="J1198" i="22"/>
  <c r="F1198" i="22"/>
  <c r="H1350" i="22"/>
  <c r="H1008" i="21"/>
  <c r="G818" i="21"/>
  <c r="G856" i="21"/>
  <c r="J248" i="15"/>
  <c r="G476" i="14"/>
  <c r="I58" i="22"/>
  <c r="H324" i="22"/>
  <c r="J96" i="22"/>
  <c r="F1160" i="22"/>
  <c r="H58" i="5"/>
  <c r="H20" i="21"/>
  <c r="J1236" i="22"/>
  <c r="H438" i="22"/>
  <c r="J172" i="18"/>
  <c r="J552" i="21"/>
  <c r="F210" i="21"/>
  <c r="G704" i="21"/>
  <c r="F58" i="15"/>
  <c r="I324" i="15"/>
  <c r="J362" i="21"/>
  <c r="J1160" i="22"/>
  <c r="J134" i="21"/>
  <c r="I1160" i="22"/>
  <c r="I1236" i="21"/>
  <c r="G1654" i="22"/>
  <c r="F324" i="15"/>
  <c r="G248" i="22"/>
  <c r="F1274" i="21"/>
  <c r="J438" i="14"/>
  <c r="G96" i="21"/>
  <c r="G134" i="22"/>
  <c r="J96" i="21"/>
  <c r="F96" i="13"/>
  <c r="I818" i="22"/>
  <c r="H932" i="22"/>
  <c r="I476" i="21"/>
  <c r="J1578" i="21"/>
  <c r="I590" i="14"/>
  <c r="F476" i="14"/>
  <c r="G286" i="21"/>
  <c r="G58" i="15"/>
  <c r="G780" i="21"/>
  <c r="F134" i="18"/>
  <c r="J400" i="22"/>
  <c r="G1350" i="22"/>
  <c r="G1274" i="21"/>
  <c r="J742" i="21"/>
  <c r="J514" i="22"/>
  <c r="J1236" i="21"/>
  <c r="G324" i="21"/>
  <c r="I58" i="15"/>
  <c r="G666" i="22"/>
  <c r="G58" i="21"/>
  <c r="J286" i="22"/>
  <c r="J1350" i="22"/>
  <c r="J210" i="5"/>
  <c r="F20" i="22"/>
  <c r="F324" i="22"/>
  <c r="I58" i="13"/>
  <c r="F1502" i="21"/>
  <c r="F1312" i="21"/>
  <c r="H1578" i="21"/>
  <c r="H1312" i="22"/>
  <c r="I1236" i="22"/>
  <c r="I438" i="22"/>
  <c r="J286" i="21"/>
  <c r="F628" i="21"/>
  <c r="G628" i="22"/>
  <c r="G362" i="22"/>
  <c r="I1654" i="22"/>
  <c r="F58" i="5"/>
  <c r="J666" i="22"/>
  <c r="H628" i="21"/>
  <c r="G1198" i="21"/>
  <c r="J210" i="15"/>
  <c r="H1198" i="21"/>
  <c r="F476" i="21"/>
  <c r="H476" i="21"/>
  <c r="I1426" i="21"/>
  <c r="G1388" i="21"/>
  <c r="G248" i="15"/>
  <c r="H96" i="5"/>
  <c r="H590" i="22"/>
  <c r="J96" i="18"/>
  <c r="F172" i="5"/>
  <c r="J134" i="22"/>
  <c r="I20" i="14"/>
  <c r="F20" i="18"/>
  <c r="F1692" i="22"/>
  <c r="F932" i="22"/>
  <c r="I1768" i="22"/>
  <c r="I666" i="22"/>
  <c r="J438" i="21"/>
  <c r="G172" i="21"/>
  <c r="I58" i="5"/>
  <c r="G1768" i="22"/>
  <c r="F856" i="22"/>
  <c r="I1388" i="21"/>
  <c r="H1502" i="21"/>
  <c r="G1160" i="22"/>
  <c r="J134" i="5"/>
  <c r="J1502" i="21"/>
  <c r="F438" i="21"/>
  <c r="I210" i="5"/>
  <c r="F20" i="21"/>
  <c r="I1388" i="22"/>
  <c r="F552" i="21"/>
  <c r="I1540" i="21"/>
  <c r="F1464" i="22"/>
  <c r="J1388" i="22"/>
  <c r="I324" i="22"/>
  <c r="F932" i="21"/>
  <c r="J590" i="22"/>
  <c r="I552" i="22"/>
  <c r="G58" i="18"/>
  <c r="F1540" i="21"/>
  <c r="G172" i="5"/>
  <c r="J58" i="5"/>
  <c r="J780" i="22"/>
  <c r="G210" i="5"/>
  <c r="H96" i="15"/>
  <c r="G476" i="22"/>
  <c r="H20" i="15"/>
  <c r="J1464" i="21"/>
  <c r="G590" i="21"/>
  <c r="H172" i="5"/>
  <c r="G1236" i="22"/>
  <c r="H172" i="18"/>
  <c r="G932" i="21"/>
  <c r="I134" i="22"/>
  <c r="G134" i="5"/>
  <c r="H1122" i="21"/>
  <c r="J628" i="22"/>
  <c r="H20" i="5"/>
  <c r="H210" i="22"/>
  <c r="F1502" i="22"/>
  <c r="G1464" i="22"/>
  <c r="F818" i="22"/>
  <c r="I20" i="22"/>
  <c r="G1578" i="21"/>
  <c r="I248" i="15"/>
  <c r="F704" i="22"/>
  <c r="F96" i="22"/>
  <c r="H1426" i="21"/>
  <c r="G20" i="15"/>
  <c r="G324" i="15"/>
  <c r="G1084" i="22"/>
  <c r="F1008" i="21"/>
  <c r="G1236" i="21"/>
  <c r="F1236" i="22"/>
  <c r="J894" i="22"/>
  <c r="J704" i="21"/>
  <c r="F666" i="21"/>
  <c r="J58" i="13"/>
  <c r="I286" i="22"/>
  <c r="H1198" i="22"/>
  <c r="G58" i="14"/>
  <c r="H248" i="21"/>
  <c r="I248" i="22"/>
  <c r="J172" i="22"/>
  <c r="F1616" i="22"/>
  <c r="H1236" i="22"/>
  <c r="G438" i="22"/>
  <c r="F1046" i="21"/>
  <c r="J20" i="21"/>
  <c r="F628" i="22"/>
  <c r="H134" i="21"/>
  <c r="F894" i="22"/>
  <c r="H286" i="15"/>
  <c r="H514" i="21"/>
  <c r="I134" i="18"/>
  <c r="I134" i="21"/>
  <c r="J818" i="22"/>
  <c r="F172" i="18"/>
  <c r="I1464" i="21"/>
  <c r="F1388" i="21"/>
  <c r="J1084" i="21"/>
  <c r="I476" i="22"/>
  <c r="F58" i="13"/>
  <c r="G894" i="21"/>
  <c r="I818" i="21"/>
  <c r="H438" i="21"/>
  <c r="G172" i="22"/>
  <c r="H248" i="15"/>
  <c r="I20" i="21"/>
  <c r="I400" i="21"/>
  <c r="I96" i="15"/>
  <c r="G1540" i="21"/>
  <c r="H1312" i="21"/>
  <c r="F400" i="22"/>
  <c r="H362" i="21"/>
  <c r="H780" i="22"/>
  <c r="G1616" i="22"/>
  <c r="H1730" i="22"/>
  <c r="F400" i="21"/>
  <c r="H20" i="22"/>
  <c r="I704" i="22"/>
  <c r="G628" i="21"/>
  <c r="I210" i="22"/>
  <c r="I552" i="14"/>
  <c r="J210" i="21"/>
  <c r="I438" i="14"/>
  <c r="G20" i="21"/>
  <c r="I172" i="22"/>
  <c r="I590" i="22"/>
  <c r="I172" i="18"/>
  <c r="H894" i="22"/>
  <c r="G1426" i="21"/>
  <c r="J476" i="14"/>
  <c r="J552" i="14"/>
  <c r="F134" i="22"/>
  <c r="J96" i="5"/>
  <c r="J20" i="22"/>
  <c r="F818" i="21"/>
  <c r="H210" i="5"/>
  <c r="G1464" i="21"/>
  <c r="J856" i="22"/>
  <c r="H818" i="22"/>
  <c r="F1350" i="22"/>
  <c r="I1046" i="22"/>
  <c r="F590" i="22"/>
  <c r="H552" i="22"/>
  <c r="H172" i="21"/>
  <c r="F514" i="22"/>
  <c r="H704" i="21"/>
  <c r="J476" i="21"/>
  <c r="F1426" i="21"/>
  <c r="H856" i="21"/>
  <c r="J894" i="21"/>
  <c r="G742" i="22"/>
  <c r="I1198" i="22"/>
  <c r="J1160" i="21"/>
  <c r="I1046" i="21"/>
  <c r="G1312" i="22"/>
  <c r="F780" i="22"/>
  <c r="I1312" i="21"/>
  <c r="F1122" i="21"/>
  <c r="J20" i="14"/>
  <c r="H58" i="15"/>
  <c r="J742" i="22"/>
  <c r="J1198" i="21"/>
  <c r="J96" i="15"/>
  <c r="J856" i="21"/>
  <c r="I172" i="5"/>
  <c r="I628" i="22"/>
  <c r="G20" i="18"/>
  <c r="H1274" i="22"/>
  <c r="G438" i="14"/>
  <c r="G1692" i="22"/>
  <c r="J20" i="13"/>
  <c r="G400" i="21"/>
  <c r="I248" i="21"/>
  <c r="H400" i="22"/>
  <c r="F894" i="21"/>
  <c r="I856" i="21"/>
  <c r="I1008" i="21"/>
  <c r="H400" i="21"/>
  <c r="I742" i="22"/>
  <c r="F58" i="18"/>
  <c r="G96" i="18"/>
  <c r="J362" i="22"/>
  <c r="G1388" i="22"/>
  <c r="F1654" i="22"/>
  <c r="F248" i="21"/>
  <c r="J1312" i="22"/>
  <c r="F96" i="15"/>
  <c r="I552" i="21"/>
  <c r="J438" i="22"/>
  <c r="J628" i="21"/>
  <c r="H1806" i="22"/>
  <c r="I20" i="13"/>
  <c r="J1046" i="21"/>
  <c r="F780" i="21"/>
  <c r="J1008" i="21"/>
  <c r="G286" i="22"/>
  <c r="G1274" i="22"/>
  <c r="I1084" i="21"/>
  <c r="I856" i="22"/>
  <c r="F286" i="15"/>
  <c r="G286" i="15"/>
  <c r="H134" i="5"/>
  <c r="I1160" i="21"/>
  <c r="H1046" i="22"/>
  <c r="J590" i="21"/>
  <c r="F96" i="5"/>
  <c r="J932" i="22"/>
  <c r="H1084" i="21"/>
  <c r="H476" i="22"/>
  <c r="F742" i="22"/>
  <c r="F20" i="15"/>
  <c r="H742" i="21"/>
  <c r="J1388" i="21"/>
  <c r="G20" i="22"/>
  <c r="F286" i="22"/>
  <c r="J818" i="21"/>
  <c r="J20" i="5"/>
  <c r="F286" i="21"/>
  <c r="J210" i="22"/>
  <c r="F1806" i="22"/>
  <c r="J1540" i="21"/>
  <c r="I1692" i="22"/>
  <c r="H58" i="18"/>
  <c r="H476" i="14"/>
  <c r="F134" i="5"/>
  <c r="H324" i="15"/>
  <c r="J58" i="14"/>
  <c r="F590" i="14"/>
  <c r="J1654" i="22"/>
  <c r="F552" i="14"/>
  <c r="I96" i="22"/>
  <c r="I210" i="15"/>
  <c r="G514" i="21"/>
  <c r="J324" i="21"/>
  <c r="J248" i="21"/>
  <c r="G58" i="5"/>
  <c r="H552" i="14"/>
  <c r="H780" i="21"/>
  <c r="J780" i="21"/>
  <c r="J58" i="21"/>
  <c r="I20" i="15"/>
  <c r="H96" i="18"/>
  <c r="I514" i="21"/>
  <c r="F1084" i="21"/>
  <c r="F172" i="21"/>
  <c r="I362" i="22"/>
  <c r="I1730" i="22"/>
  <c r="G134" i="21"/>
  <c r="J20" i="15"/>
  <c r="H1464" i="21"/>
  <c r="H324" i="21"/>
  <c r="F1084" i="22"/>
  <c r="H20" i="13"/>
  <c r="I1616" i="22"/>
  <c r="G1160" i="21"/>
  <c r="I1274" i="21"/>
  <c r="J1312" i="21"/>
  <c r="G134" i="18"/>
  <c r="G324" i="22"/>
  <c r="I1198" i="21"/>
  <c r="G1806" i="22"/>
  <c r="J552" i="22"/>
  <c r="G210" i="15"/>
  <c r="F666" i="22"/>
  <c r="G96" i="15"/>
  <c r="H1654" i="22"/>
  <c r="G590" i="14"/>
  <c r="G514" i="22"/>
  <c r="F590" i="21"/>
  <c r="H438" i="14"/>
  <c r="H172" i="22"/>
  <c r="G400" i="22"/>
  <c r="H286" i="22"/>
  <c r="H590" i="14"/>
  <c r="F58" i="22"/>
  <c r="H96" i="13"/>
  <c r="H818" i="21"/>
  <c r="I210" i="21"/>
  <c r="J590" i="14"/>
  <c r="F704" i="21"/>
  <c r="F134" i="21"/>
  <c r="F1160" i="21"/>
  <c r="I780" i="22"/>
  <c r="I20" i="18"/>
  <c r="J172" i="5"/>
  <c r="F1578" i="21"/>
  <c r="I780" i="21"/>
  <c r="G856" i="22"/>
  <c r="J1274" i="22"/>
  <c r="F362" i="22"/>
  <c r="I704" i="21"/>
  <c r="I1502" i="21"/>
  <c r="J172" i="21"/>
  <c r="G96" i="5"/>
  <c r="I286" i="15"/>
  <c r="H1236" i="21"/>
  <c r="I96" i="18"/>
  <c r="I514" i="22"/>
  <c r="G1084" i="21"/>
  <c r="I1084" i="22"/>
  <c r="I894" i="21"/>
  <c r="F210" i="22"/>
  <c r="H1274" i="21"/>
  <c r="F1274" i="22"/>
  <c r="J324" i="22"/>
  <c r="H58" i="22"/>
  <c r="I20" i="5"/>
  <c r="F172" i="22"/>
  <c r="G894" i="22"/>
  <c r="J1122" i="21"/>
  <c r="H58" i="13"/>
  <c r="F324" i="21"/>
  <c r="J932" i="21"/>
  <c r="H514" i="22"/>
  <c r="I1502" i="22"/>
  <c r="F96" i="21"/>
  <c r="H96" i="21"/>
  <c r="J1084" i="22"/>
  <c r="G666" i="21"/>
  <c r="F20" i="14"/>
  <c r="H666" i="21"/>
  <c r="H362" i="22"/>
  <c r="H742" i="22"/>
  <c r="H552" i="21"/>
  <c r="I96" i="21"/>
  <c r="H134" i="18"/>
  <c r="H894" i="21"/>
  <c r="G248" i="21"/>
  <c r="F1046" i="22"/>
  <c r="G58" i="13"/>
  <c r="F210" i="15"/>
  <c r="H1616" i="22"/>
  <c r="I1578" i="21"/>
  <c r="I96" i="5"/>
  <c r="H1692" i="22"/>
  <c r="I742" i="21"/>
  <c r="I58" i="18"/>
  <c r="F58" i="14"/>
  <c r="J286" i="15"/>
  <c r="G210" i="22"/>
  <c r="I932" i="22"/>
  <c r="J1502" i="22"/>
  <c r="I932" i="21"/>
  <c r="J1806" i="22"/>
  <c r="F248" i="15"/>
  <c r="J476" i="22"/>
  <c r="I362" i="21"/>
  <c r="G96" i="13"/>
  <c r="H666" i="22"/>
  <c r="G552" i="14"/>
  <c r="G704" i="22"/>
  <c r="H1084" i="22"/>
  <c r="I324" i="21"/>
  <c r="H1160" i="22"/>
  <c r="G362" i="21"/>
  <c r="G96" i="22"/>
  <c r="K13" i="14" l="1"/>
  <c r="G13" i="5"/>
  <c r="G13" i="18"/>
  <c r="G14" i="13"/>
  <c r="G12" i="15"/>
  <c r="G13" i="15"/>
  <c r="G12" i="5"/>
  <c r="G15" i="5" s="1"/>
  <c r="K12" i="22"/>
  <c r="K13" i="15"/>
  <c r="G13" i="13"/>
  <c r="G12" i="13"/>
  <c r="G15" i="13" s="1"/>
  <c r="K12" i="18"/>
  <c r="G12" i="14"/>
  <c r="G12" i="22"/>
  <c r="G15" i="22" s="1"/>
  <c r="K12" i="21"/>
  <c r="G14" i="22"/>
  <c r="G13" i="21"/>
  <c r="G12" i="21"/>
  <c r="K12" i="15"/>
  <c r="K15" i="15" s="1"/>
  <c r="G13" i="22"/>
  <c r="G14" i="5"/>
  <c r="G14" i="15"/>
  <c r="K13" i="21"/>
  <c r="K13" i="18"/>
  <c r="G13" i="14"/>
  <c r="K13" i="22"/>
  <c r="G14" i="21"/>
  <c r="K13" i="5"/>
  <c r="K12" i="13"/>
  <c r="K13" i="13"/>
  <c r="G14" i="18"/>
  <c r="K12" i="5"/>
  <c r="K15" i="5" s="1"/>
  <c r="G12" i="18"/>
  <c r="K12" i="14"/>
  <c r="K15" i="14" s="1"/>
  <c r="G14" i="14"/>
  <c r="K15" i="21" l="1"/>
  <c r="L13" i="22"/>
  <c r="H14" i="22"/>
  <c r="H13" i="22"/>
  <c r="L14" i="22"/>
  <c r="G15" i="18"/>
  <c r="K15" i="13"/>
  <c r="L14" i="13" s="1"/>
  <c r="G15" i="14"/>
  <c r="G15" i="15"/>
  <c r="K15" i="18"/>
  <c r="K15" i="22"/>
  <c r="L12" i="22" s="1"/>
  <c r="L15" i="22" s="1"/>
  <c r="L14" i="5"/>
  <c r="L13" i="5"/>
  <c r="H14" i="5"/>
  <c r="L12" i="5"/>
  <c r="H12" i="5"/>
  <c r="H13" i="5"/>
  <c r="L12" i="13"/>
  <c r="H14" i="13"/>
  <c r="H12" i="13"/>
  <c r="H15" i="13" s="1"/>
  <c r="H13" i="13"/>
  <c r="G15" i="21"/>
  <c r="L14" i="15" l="1"/>
  <c r="L13" i="15"/>
  <c r="H12" i="15"/>
  <c r="H15" i="15" s="1"/>
  <c r="H14" i="15"/>
  <c r="H13" i="15"/>
  <c r="L12" i="15"/>
  <c r="L15" i="15" s="1"/>
  <c r="H14" i="21"/>
  <c r="L14" i="21"/>
  <c r="L13" i="21"/>
  <c r="H13" i="21"/>
  <c r="L12" i="21"/>
  <c r="L15" i="21" s="1"/>
  <c r="H12" i="21"/>
  <c r="H15" i="5"/>
  <c r="L12" i="14"/>
  <c r="L13" i="14"/>
  <c r="H12" i="14"/>
  <c r="L14" i="14"/>
  <c r="H14" i="14"/>
  <c r="H13" i="14"/>
  <c r="L15" i="5"/>
  <c r="H12" i="22"/>
  <c r="H15" i="22" s="1"/>
  <c r="L13" i="13"/>
  <c r="L15" i="13" s="1"/>
  <c r="L12" i="18"/>
  <c r="L14" i="18"/>
  <c r="L13" i="18"/>
  <c r="L15" i="18" s="1"/>
  <c r="H13" i="18"/>
  <c r="H14" i="18"/>
  <c r="H12" i="18"/>
  <c r="L15" i="14" l="1"/>
  <c r="H15" i="18"/>
  <c r="H15" i="14"/>
  <c r="H15" i="21"/>
</calcChain>
</file>

<file path=xl/comments1.xml><?xml version="1.0" encoding="utf-8"?>
<comments xmlns="http://schemas.openxmlformats.org/spreadsheetml/2006/main">
  <authors>
    <author>SANDRA SABROSO TORRES</author>
    <author>David Lubián</author>
  </authors>
  <commentList>
    <comment ref="C7" authorId="0">
      <text>
        <r>
          <rPr>
            <b/>
            <sz val="9"/>
            <color indexed="81"/>
            <rFont val="Tahoma"/>
            <family val="2"/>
          </rPr>
          <t>URA: Unidad Responsable de Accesibilidad</t>
        </r>
        <r>
          <rPr>
            <sz val="9"/>
            <color indexed="81"/>
            <rFont val="Tahoma"/>
            <family val="2"/>
          </rPr>
          <t xml:space="preserve">
</t>
        </r>
      </text>
    </comment>
    <comment ref="C9" author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text>
        <r>
          <rPr>
            <b/>
            <sz val="9"/>
            <color indexed="81"/>
            <rFont val="Tahoma"/>
            <family val="2"/>
          </rPr>
          <t>Indicar el nombre de la Entidad responsable del sitio web, p.e. la Subdirección General XXX</t>
        </r>
      </text>
    </comment>
    <comment ref="C19" authorId="1">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text>
        <r>
          <rPr>
            <b/>
            <sz val="9"/>
            <color indexed="81"/>
            <rFont val="Tahoma"/>
            <family val="2"/>
          </rPr>
          <t xml:space="preserve"> Indicar el correo electrónico de contacto de la entidad o de la persona responsable del sitio web.</t>
        </r>
      </text>
    </comment>
    <comment ref="C29" authorId="1">
      <text>
        <r>
          <rPr>
            <b/>
            <sz val="9"/>
            <color indexed="81"/>
            <rFont val="Tahoma"/>
            <family val="2"/>
          </rPr>
          <t>Identifica la URL del sitio web.</t>
        </r>
      </text>
    </comment>
    <comment ref="C31" authorId="1">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text>
        <r>
          <rPr>
            <b/>
            <sz val="9"/>
            <color indexed="81"/>
            <rFont val="Tahoma"/>
            <family val="2"/>
          </rPr>
          <t>Indicar la fecha en la que se realiza la revisión de accesibilidad en formato dd/mm/aaaa</t>
        </r>
      </text>
    </comment>
    <comment ref="C41" authorId="1">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text>
        <r>
          <rPr>
            <b/>
            <sz val="9"/>
            <color indexed="81"/>
            <rFont val="Tahoma"/>
            <family val="2"/>
          </rPr>
          <t>Nombre de la empresa que ha realizado la evaluación.</t>
        </r>
        <r>
          <rPr>
            <sz val="9"/>
            <color indexed="81"/>
            <rFont val="Tahoma"/>
            <family val="2"/>
          </rPr>
          <t xml:space="preserve">
</t>
        </r>
      </text>
    </comment>
    <comment ref="C62" authorId="1">
      <text>
        <r>
          <rPr>
            <b/>
            <sz val="9"/>
            <color indexed="81"/>
            <rFont val="Tahoma"/>
            <family val="2"/>
          </rPr>
          <t>Datos relacionados con la revisión.</t>
        </r>
      </text>
    </comment>
  </commentList>
</comments>
</file>

<file path=xl/comments10.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authors>
    <author>David Lubián</author>
  </authors>
  <commentList>
    <comment ref="K14" authorId="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authors>
    <author>SANDRA SABROSO TORRES</author>
  </authors>
  <commentList>
    <comment ref="B6" author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David Lubián</author>
    <author>SANDRA SABROSO TORRES</author>
  </authors>
  <commentList>
    <comment ref="D7" authorId="0">
      <text>
        <r>
          <rPr>
            <b/>
            <sz val="9"/>
            <color indexed="81"/>
            <rFont val="Tahoma"/>
            <family val="2"/>
          </rPr>
          <t>Puede ser de dos tipos: Página web o Documento no web</t>
        </r>
      </text>
    </comment>
    <comment ref="E7" authorId="1">
      <text>
        <r>
          <rPr>
            <b/>
            <sz val="9"/>
            <color indexed="81"/>
            <rFont val="Tahoma"/>
            <family val="2"/>
          </rPr>
          <t>Tipo de la página web añadida (de acuerdo con la Decisión de Ejecución 2018/1524).</t>
        </r>
      </text>
    </comment>
    <comment ref="G7" authorId="1">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<sst xmlns="http://schemas.openxmlformats.org/spreadsheetml/2006/main" count="3741" uniqueCount="551">
  <si>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</si>
  <si>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</si>
  <si>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</si>
  <si>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</si>
  <si>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</si>
  <si>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</si>
  <si>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</si>
  <si>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</si>
  <si>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</si>
  <si>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</si>
  <si>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</si>
  <si>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</si>
  <si>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</si>
  <si>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</si>
  <si>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</si>
  <si>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</si>
  <si>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</si>
  <si>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</si>
  <si>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</si>
  <si>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</si>
  <si>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Ej. Imágenes, tablas, listas, multimedia, formularios, plantilla X, plantilla Y</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</si>
  <si>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</si>
  <si>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</si>
  <si>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</si>
  <si>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</si>
  <si>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</si>
  <si>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</si>
  <si>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</si>
  <si>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</si>
  <si>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</si>
  <si>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</si>
  <si>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</si>
  <si>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</si>
  <si>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</si>
  <si>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</si>
  <si>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</si>
  <si>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</si>
  <si>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</si>
  <si>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</si>
  <si>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</si>
  <si>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</si>
  <si>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</si>
  <si>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</si>
  <si>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</si>
  <si>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</si>
  <si>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</si>
  <si>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</si>
  <si>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</si>
  <si>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</si>
  <si>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</si>
  <si>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</si>
  <si>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</si>
  <si>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</si>
  <si>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</si>
  <si>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</si>
  <si>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</si>
  <si>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</si>
  <si>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</si>
  <si>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</si>
  <si>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</si>
  <si>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</si>
  <si>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</si>
  <si>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</si>
  <si>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</si>
  <si>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</si>
  <si>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</si>
  <si>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</si>
  <si>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</si>
  <si>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</si>
  <si>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</si>
  <si>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</si>
  <si>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</si>
  <si>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</si>
  <si>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</si>
  <si>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</si>
  <si>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</si>
  <si>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</si>
  <si>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</si>
  <si>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</si>
  <si>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</si>
  <si>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</si>
  <si>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</si>
  <si>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</si>
  <si>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</si>
  <si>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</si>
  <si>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</si>
  <si>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</si>
  <si>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</si>
  <si>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</si>
  <si>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</si>
  <si>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</si>
  <si>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</si>
  <si>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</si>
  <si>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</si>
  <si>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</si>
  <si>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</si>
  <si>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</si>
  <si>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</si>
  <si>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</si>
  <si>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</si>
  <si>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</si>
  <si>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</si>
  <si>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</si>
  <si>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</si>
  <si>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</si>
  <si>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</si>
  <si>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</si>
  <si>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</si>
  <si>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</si>
  <si>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</si>
  <si>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</si>
  <si>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</si>
  <si>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</si>
  <si>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</si>
  <si>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</si>
  <si>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</si>
  <si>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</si>
  <si>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</si>
  <si>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</si>
  <si>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</si>
  <si>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</si>
  <si>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</si>
  <si>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</si>
  <si>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</si>
  <si>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</si>
  <si>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</si>
  <si>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</si>
  <si>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</si>
  <si>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</si>
  <si>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</si>
  <si>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</si>
  <si>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</si>
  <si>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</si>
  <si>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</si>
  <si>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</si>
  <si>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</si>
  <si>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</si>
  <si>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</si>
  <si>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</si>
  <si>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</si>
  <si>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</si>
  <si>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</si>
  <si>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</si>
  <si>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</si>
  <si>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</si>
  <si>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</si>
  <si>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</si>
  <si>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</si>
  <si>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</si>
  <si>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</si>
  <si>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</si>
  <si>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</si>
  <si>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</si>
  <si>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</si>
  <si>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</si>
  <si>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</si>
  <si>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</si>
  <si>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</si>
  <si>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</si>
  <si>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</si>
  <si>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</si>
  <si>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</si>
  <si>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</si>
  <si>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</si>
  <si>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</si>
  <si>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</si>
  <si>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</si>
  <si>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</si>
  <si>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</si>
  <si>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</si>
  <si>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</si>
  <si>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</si>
  <si>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</si>
  <si>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</si>
  <si>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</si>
  <si>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</si>
  <si>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</si>
  <si>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</si>
  <si>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</si>
  <si>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</si>
  <si>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</si>
  <si>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</si>
  <si>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</si>
  <si>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</si>
  <si>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</si>
  <si>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</si>
  <si>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</si>
  <si>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</si>
  <si>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</si>
  <si>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</si>
  <si>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</si>
  <si>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</si>
  <si>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</si>
  <si>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</si>
  <si>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</si>
  <si>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</si>
  <si>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</si>
  <si>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</si>
  <si>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</si>
  <si>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</si>
  <si>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</si>
  <si>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</si>
  <si>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</si>
  <si>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</si>
  <si>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</si>
  <si>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</si>
  <si>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</si>
  <si>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</si>
  <si>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</si>
  <si>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</si>
  <si>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</si>
  <si>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</si>
  <si>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</si>
  <si>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</si>
  <si>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</si>
  <si>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</si>
  <si>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</si>
  <si>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</si>
  <si>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</si>
  <si>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</si>
  <si>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</si>
  <si>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</si>
  <si>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</si>
  <si>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</si>
  <si>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</si>
  <si>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</si>
  <si>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</si>
  <si>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</si>
  <si>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</si>
  <si>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</si>
  <si>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</si>
  <si>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</si>
  <si>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</si>
  <si>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</si>
  <si>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</si>
  <si>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</si>
  <si>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</si>
  <si>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</si>
  <si>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</si>
  <si>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</si>
  <si>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</si>
  <si>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</si>
  <si>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</si>
  <si>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</si>
  <si>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</si>
  <si>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</si>
  <si>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</si>
  <si>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</si>
  <si>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</si>
  <si>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</si>
  <si>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</si>
  <si>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</si>
  <si>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</si>
  <si>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</si>
  <si>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</si>
  <si>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</si>
  <si>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</si>
  <si>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</si>
  <si>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</si>
  <si>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</si>
  <si>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</si>
  <si>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</si>
  <si>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</si>
  <si>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</si>
  <si>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</si>
  <si>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</si>
  <si>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</si>
  <si>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</si>
  <si>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</si>
  <si>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</si>
  <si>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</si>
  <si>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</si>
  <si>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</si>
  <si>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</si>
  <si>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</si>
  <si>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</si>
  <si>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</si>
  <si>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</si>
  <si>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</si>
  <si>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</si>
  <si>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</si>
  <si>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</si>
  <si>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</si>
  <si>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</si>
  <si>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</si>
  <si>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</si>
  <si>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</si>
  <si>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</si>
  <si>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</si>
  <si>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</si>
  <si>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</si>
  <si>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</si>
  <si>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</si>
  <si>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</si>
  <si>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</si>
  <si>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</si>
  <si>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</si>
  <si>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</si>
  <si>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</si>
  <si>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</si>
  <si>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</si>
  <si>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</si>
  <si>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</si>
  <si>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</si>
  <si>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</si>
  <si>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</si>
  <si>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</si>
  <si>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</si>
  <si>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</si>
  <si>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</si>
  <si>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</si>
  <si>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</si>
  <si>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</si>
  <si>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</si>
  <si>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</si>
  <si>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</si>
  <si>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</si>
  <si>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</si>
  <si>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</si>
  <si>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</si>
  <si>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</si>
  <si>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</si>
  <si>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</si>
  <si>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</si>
  <si>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</si>
  <si>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</si>
  <si>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</si>
  <si>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</si>
  <si>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</si>
  <si>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</si>
  <si>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</si>
  <si>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</si>
  <si>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</si>
  <si>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</si>
  <si>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</si>
  <si>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</si>
  <si>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</si>
  <si>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</si>
  <si>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</si>
  <si>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</si>
  <si>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</si>
  <si>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</si>
  <si>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</si>
  <si>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</si>
  <si>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</si>
  <si>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</si>
  <si>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</si>
  <si>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</si>
  <si>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</si>
  <si>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</si>
  <si>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</si>
  <si>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</si>
  <si>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</si>
  <si>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</si>
  <si>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</si>
  <si>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</si>
  <si>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</si>
  <si>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</si>
  <si>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</si>
  <si>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</si>
  <si>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</si>
  <si>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</si>
  <si>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</si>
  <si>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</si>
  <si>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</si>
  <si>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</si>
  <si>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</si>
  <si>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</si>
  <si>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</si>
  <si>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</si>
  <si>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</si>
  <si>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</si>
  <si>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</si>
  <si>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</si>
  <si>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</si>
  <si>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</si>
  <si>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</si>
  <si>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</si>
  <si>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</si>
  <si>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</si>
  <si>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</si>
  <si>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</si>
  <si>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</si>
  <si>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</si>
  <si>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</si>
  <si>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</si>
  <si>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</si>
  <si>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</si>
  <si>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</si>
  <si>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</si>
  <si>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</si>
  <si>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</si>
  <si>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</si>
  <si>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</si>
  <si>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</si>
  <si>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</si>
  <si>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</si>
  <si>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</si>
  <si>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</si>
  <si>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</si>
  <si>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</si>
  <si>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</si>
  <si>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</si>
  <si>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</si>
  <si>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</si>
  <si>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</si>
  <si>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</si>
  <si>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</si>
  <si>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</si>
  <si>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</si>
  <si>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</si>
  <si>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</si>
  <si>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</si>
  <si>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</si>
  <si>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</si>
  <si>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</si>
  <si>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</si>
  <si>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</si>
  <si>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</si>
  <si>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</si>
  <si>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</si>
  <si>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</si>
  <si>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</si>
  <si>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</si>
  <si>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</si>
  <si>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</si>
  <si>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</si>
  <si>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</si>
  <si>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</si>
  <si>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</si>
  <si>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</si>
  <si>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</si>
  <si>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</si>
  <si>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</si>
  <si>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</si>
  <si>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</si>
  <si>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</si>
  <si>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</si>
  <si>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</si>
  <si>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</si>
  <si>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</si>
  <si>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</si>
  <si>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</si>
  <si>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</si>
  <si>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</si>
  <si>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</si>
  <si>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</si>
  <si>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</si>
  <si>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</si>
  <si>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</si>
  <si>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</si>
  <si>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</si>
  <si>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</si>
  <si>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</si>
  <si>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</si>
  <si>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</si>
  <si>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</si>
  <si>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</si>
  <si>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</si>
  <si>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</si>
  <si>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</si>
  <si>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</si>
  <si>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</si>
  <si>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</si>
  <si>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</si>
  <si>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</si>
  <si>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</si>
  <si>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</si>
  <si>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</si>
  <si>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</si>
  <si>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</si>
  <si>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</si>
  <si>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</si>
  <si>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</si>
  <si>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</si>
  <si>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</si>
  <si>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</si>
  <si>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</si>
  <si>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</si>
  <si>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</si>
  <si>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21/03/2026</t>
  </si>
  <si>
    <t>Home - PortCastelló</t>
  </si>
  <si>
    <t>Página Web</t>
  </si>
  <si>
    <t/>
  </si>
  <si>
    <t>https://www.portcastello.com/</t>
  </si>
  <si>
    <t>Estadísticas del puerto de Castellón - PortCastelló</t>
  </si>
  <si>
    <t>https://www.portcastello.com/comunidad-portuaria/estadisticas/</t>
  </si>
  <si>
    <t>https://www.portcastello.com/#main-content</t>
  </si>
  <si>
    <t>Transitarios de PortCastelló. Comunidad Portuaria</t>
  </si>
  <si>
    <t>https://www.portcastello.com/comunidad-portuaria/transitarios/</t>
  </si>
  <si>
    <t>Puertas abiertas - PortCastelló</t>
  </si>
  <si>
    <t>https://www.portcastello.com/puerto-ciudad/puertas-abiertas/</t>
  </si>
  <si>
    <t>Accesos - PortCastelló. Accesos por carretera al puerto</t>
  </si>
  <si>
    <t>https://www.portcastello.com/negocio/accesos/</t>
  </si>
  <si>
    <t>Cruceros - PortCastelló - Castellón Cruise Club - Fundación PortCastelló</t>
  </si>
  <si>
    <t>https://www.portcastello.com/fundacion-portcastello/cruceros/</t>
  </si>
  <si>
    <t>Faro Moll de Costa - PortCastelló</t>
  </si>
  <si>
    <t>https://www.portcastello.com/faros-portcastello/faro-moll-de-costa/</t>
  </si>
  <si>
    <t>Agenda - PortCastelló</t>
  </si>
  <si>
    <t>https://www.portcastello.com/eventos/2026/03/28/</t>
  </si>
  <si>
    <t>https://www.portcastello.com/eventos/eventos/</t>
  </si>
  <si>
    <t>Historia de PortCastelló. Transformación en puertos entorno urbano.</t>
  </si>
  <si>
    <t>https://www.portcastello.com/puerto-ciudad/historia-del-puerto/</t>
  </si>
  <si>
    <t>Consejo de Administración - PortCastelló</t>
  </si>
  <si>
    <t>https://www.portcastello.com/autoridad-portuaria/consejo-de-administracion/</t>
  </si>
  <si>
    <t>Política de cookies - PortCastelló</t>
  </si>
  <si>
    <t>https://www.portcastello.com/politica-de-cookies/</t>
  </si>
  <si>
    <t>Los faros de PortCastelló - PortCastelló</t>
  </si>
  <si>
    <t>https://www.portcastello.com/faros-portcastello/</t>
  </si>
  <si>
    <t>Organigrama - PortCastelló - Autoridad Portuaria -</t>
  </si>
  <si>
    <t>https://www.portcastello.com/autoridad-portuaria/organigrama/</t>
  </si>
  <si>
    <t>Concurso de dibujo de postales navideñas de PortCastelló</t>
  </si>
  <si>
    <t>https://www.portcastello.com/puerto-ciudad/concurso-postales-navidenas/</t>
  </si>
  <si>
    <t>https://www.portcastello.com/en/port-community/forwarding-agents/</t>
  </si>
  <si>
    <t>Información para Capitanes de Buque - PortCastelló</t>
  </si>
  <si>
    <t>https://www.portcastello.com/sostenibilidad/informacion-capitanes-buque/</t>
  </si>
  <si>
    <t>Plan estratégico - PortCastelló - Autoridad Portuaria</t>
  </si>
  <si>
    <t>https://www.portcastello.com/autoridad-portuaria/plan-estrategico/</t>
  </si>
  <si>
    <t>Premios Faro PortCastelló. Distinciones Faro PortCastelló</t>
  </si>
  <si>
    <t>https://www.portcastello.com/puerto-ciudad/premios-faro/</t>
  </si>
  <si>
    <t>Jornadas y Ferias - PortCastelló. Agenda de actividades comerciales</t>
  </si>
  <si>
    <t>https://www.portcastello.com/fundacion-portcastello/jornadas-y-ferias/</t>
  </si>
  <si>
    <t>Normativa PortCastelló Legislación vigente actualizada</t>
  </si>
  <si>
    <t>https://www.portcastello.com/negocio/normativa/</t>
  </si>
  <si>
    <t>Faro de Oropesa del Mar - PortCastelló</t>
  </si>
  <si>
    <t>https://www.portcastello.com/faros-portcastello/faro-de-oropesa/</t>
  </si>
  <si>
    <t>Conoce tu puerto PortCastelló. Visitas para dar a conocer el puerto</t>
  </si>
  <si>
    <t>https://www.portcastello.com/puerto-ciudad/conoce-tu-puerto/</t>
  </si>
  <si>
    <t>Innovación. Estrategia de innovación - PortCastelló</t>
  </si>
  <si>
    <t>https://www.portcastello.com/innovacion-estrategia-de-innovacion/</t>
  </si>
  <si>
    <t>Noticias Fundación PortCastelló. Actividad de la fundación</t>
  </si>
  <si>
    <t>https://www.portcastello.com/fundacion-portcastello/noticias/</t>
  </si>
  <si>
    <t>Innovación. Quiero participar - PortCastelló</t>
  </si>
  <si>
    <t>https://www.portcastello.com/innovacion-quiero-participar/</t>
  </si>
  <si>
    <t>Código Ético - PortCastelló</t>
  </si>
  <si>
    <t>https://www.portcastello.com/autoridad-portuaria/codigo-etico/</t>
  </si>
  <si>
    <t>Faro Columbretes - PortCastelló</t>
  </si>
  <si>
    <t>https://www.portcastello.com/faros-portcastello/faro-columbretes/</t>
  </si>
  <si>
    <t>Concesionarios - PortCastelló</t>
  </si>
  <si>
    <t>https://www.portcastello.com/comunidad-portuaria/concesionarios/</t>
  </si>
  <si>
    <t>Registro de Actividades y Tratamiento - PortCastelló</t>
  </si>
  <si>
    <t>https://www.portcastello.com/negocio/registro-de-actividades-y-tratamiento/</t>
  </si>
  <si>
    <t>Tráficos y terminales - PortCastelló</t>
  </si>
  <si>
    <t>https://www.portcastello.com/negocio/traficos-terminales/</t>
  </si>
  <si>
    <t>Tasas y tarifas de PortCastelló. Buque; pasaje; mercancía, etc.</t>
  </si>
  <si>
    <t>https://www.portcastello.com/negocio/tasas-y-tarifas/</t>
  </si>
  <si>
    <t>Disposición 6159 del BOE núm. 89 de 2022</t>
  </si>
  <si>
    <t>Documento no web</t>
  </si>
  <si>
    <t>https://www.portcastello.com/wp-content/uploads/2025/04/BOE-A-2022-6159-Reglamento-de-Organizacion-y-Funcionamiento-del-Consejo-de-Administracion.pdf</t>
  </si>
  <si>
    <t>Documento.pdf</t>
  </si>
  <si>
    <t>https://www.portcastello.com/wp-content/uploads/2025/09/34_5704_22_6125_AUTORIDAD-PORTUARIA-DE-CASTELLON.pdf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</si>
</sst>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4">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Hipervínculo" xfId="24" builtinId="8"/>
    <cellStyle name="Input" xfId="7"/>
    <cellStyle name="LINK" xfId="17"/>
    <cellStyle name="Normal" xfId="0" builtinId="0"/>
    <cellStyle name="Normal 2" xfId="25"/>
    <cellStyle name="Resultado" xfId="1"/>
    <cellStyle name="Resultado2" xfId="2"/>
    <cellStyle name="Título" xfId="3"/>
    <cellStyle name="Título1" xfId="4"/>
  </cellStyles>
  <dxfs count="1191">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ill>
        <patternFill>
          <bgColor rgb="FFFF0000"/>
        </patternFill>
      </fill>
    </dxf>
    <dxf>
      <fill>
        <patternFill>
          <bgColor rgb="FF00B05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metadata.xml" Type="http://schemas.openxmlformats.org/officeDocument/2006/relationships/sheetMetadata"/><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0.xml.rels><?xml version="1.0" encoding="UTF-8" standalone="yes"?>
<Relationships xmlns="http://schemas.openxmlformats.org/package/2006/relationships"><Relationship Id="rId1" Target="../media/image1.png" Type="http://schemas.openxmlformats.org/officeDocument/2006/relationships/image"/></Relationships>
</file>

<file path=xl/drawings/_rels/drawing4.xml.rels><?xml version="1.0" encoding="UTF-8" standalone="yes"?>
<Relationships xmlns="http://schemas.openxmlformats.org/package/2006/relationships"><Relationship Id="rId1" Target="../media/image1.png" Type="http://schemas.openxmlformats.org/officeDocument/2006/relationships/image"/></Relationships>
</file>

<file path=xl/drawings/_rels/drawing5.xml.rels><?xml version="1.0" encoding="UTF-8" standalone="yes"?>
<Relationships xmlns="http://schemas.openxmlformats.org/package/2006/relationships"><Relationship Id="rId1" Target="../media/image1.png" Type="http://schemas.openxmlformats.org/officeDocument/2006/relationships/image"/></Relationships>
</file>

<file path=xl/drawings/_rels/drawing6.xml.rels><?xml version="1.0" encoding="UTF-8" standalone="yes"?>
<Relationships xmlns="http://schemas.openxmlformats.org/package/2006/relationships"><Relationship Id="rId1" Target="../media/image1.png" Type="http://schemas.openxmlformats.org/officeDocument/2006/relationships/image"/></Relationships>
</file>

<file path=xl/drawings/_rels/drawing7.xml.rels><?xml version="1.0" encoding="UTF-8" standalone="yes"?>
<Relationships xmlns="http://schemas.openxmlformats.org/package/2006/relationships"><Relationship Id="rId1" Target="../media/image1.png" Type="http://schemas.openxmlformats.org/officeDocument/2006/relationships/image"/><Relationship Id="rId10" Target="https://www.w3.org/TR/WCAG/#use-of-color" TargetMode="External" Type="http://schemas.openxmlformats.org/officeDocument/2006/relationships/hyperlink"/><Relationship Id="rId11" Target="https://www.w3.org/TR/WCAG/#identify-input-purpose" TargetMode="External" Type="http://schemas.openxmlformats.org/officeDocument/2006/relationships/hyperlink"/><Relationship Id="rId12" Target="https://www.w3.org/TR/WCAG/#orientation" TargetMode="External" Type="http://schemas.openxmlformats.org/officeDocument/2006/relationships/hyperlink"/><Relationship Id="rId13" Target="https://www.w3.org/TR/WCAG/#sensory-characteristics" TargetMode="External" Type="http://schemas.openxmlformats.org/officeDocument/2006/relationships/hyperlink"/><Relationship Id="rId14" Target="https://www.w3.org/TR/WCAG/#meaningful-sequence" TargetMode="External" Type="http://schemas.openxmlformats.org/officeDocument/2006/relationships/hyperlink"/><Relationship Id="rId15" Target="https://www.w3.org/TR/WCAG/#info-and-relationships" TargetMode="External" Type="http://schemas.openxmlformats.org/officeDocument/2006/relationships/hyperlink"/><Relationship Id="rId16" Target="https://www.w3.org/TR/WCAG/#audio-description-prerecorded" TargetMode="External" Type="http://schemas.openxmlformats.org/officeDocument/2006/relationships/hyperlink"/><Relationship Id="rId17" Target="https://www.w3.org/TR/WCAG/#audio-description-or-media-alternative-prerecorded" TargetMode="External" Type="http://schemas.openxmlformats.org/officeDocument/2006/relationships/hyperlink"/><Relationship Id="rId18" Target="https://www.w3.org/TR/WCAG/#audio-only-and-video-only-prerecorded" TargetMode="External" Type="http://schemas.openxmlformats.org/officeDocument/2006/relationships/hyperlink"/><Relationship Id="rId19" Target="https://www.w3.org/TR/WCAG/#keyboard" TargetMode="External" Type="http://schemas.openxmlformats.org/officeDocument/2006/relationships/hyperlink"/><Relationship Id="rId2" Target="https://www.w3.org/TR/WCAG/#text-spacing" TargetMode="External" Type="http://schemas.openxmlformats.org/officeDocument/2006/relationships/hyperlink"/><Relationship Id="rId20" Target="https://www.w3.org/TR/WCAG/#three-flashes-or-below-threshold" TargetMode="External" Type="http://schemas.openxmlformats.org/officeDocument/2006/relationships/hyperlink"/><Relationship Id="rId21" Target="https://www.w3.org/TR/WCAG/#character-key-shortcuts" TargetMode="External" Type="http://schemas.openxmlformats.org/officeDocument/2006/relationships/hyperlink"/><Relationship Id="rId22" Target="https://www.w3.org/TR/WCAG/#no-keyboard-trap" TargetMode="External" Type="http://schemas.openxmlformats.org/officeDocument/2006/relationships/hyperlink"/><Relationship Id="rId23" Target="https://www.w3.org/TR/WCAG/#timing-adjustable" TargetMode="External" Type="http://schemas.openxmlformats.org/officeDocument/2006/relationships/hyperlink"/><Relationship Id="rId24" Target="https://www.w3.org/TR/WCAG/#pause-stop-hide" TargetMode="External" Type="http://schemas.openxmlformats.org/officeDocument/2006/relationships/hyperlink"/><Relationship Id="rId25" Target="https://www.w3.org/TR/WCAG/#focus-order" TargetMode="External" Type="http://schemas.openxmlformats.org/officeDocument/2006/relationships/hyperlink"/><Relationship Id="rId26" Target="https://www.w3.org/TR/WCAG/#link-purpose-in-context" TargetMode="External" Type="http://schemas.openxmlformats.org/officeDocument/2006/relationships/hyperlink"/><Relationship Id="rId27" Target="https://www.w3.org/TR/WCAG/#headings-and-labels" TargetMode="External" Type="http://schemas.openxmlformats.org/officeDocument/2006/relationships/hyperlink"/><Relationship Id="rId28" Target="https://www.w3.org/TR/WCAG/#focus-visible" TargetMode="External" Type="http://schemas.openxmlformats.org/officeDocument/2006/relationships/hyperlink"/><Relationship Id="rId29" Target="https://www.w3.org/TR/WCAG/#pointer-gestures" TargetMode="External" Type="http://schemas.openxmlformats.org/officeDocument/2006/relationships/hyperlink"/><Relationship Id="rId3" Target="https://www.w3.org/TR/WCAG/#content-on-hover-or-focus" TargetMode="External" Type="http://schemas.openxmlformats.org/officeDocument/2006/relationships/hyperlink"/><Relationship Id="rId30" Target="https://www.w3.org/TR/WCAG/#pointer-cancellation" TargetMode="External" Type="http://schemas.openxmlformats.org/officeDocument/2006/relationships/hyperlink"/><Relationship Id="rId31" Target="https://www.w3.org/TR/WCAG/#label-in-name" TargetMode="External" Type="http://schemas.openxmlformats.org/officeDocument/2006/relationships/hyperlink"/><Relationship Id="rId32" Target="https://www.w3.org/TR/WCAG/#motion-actuation" TargetMode="External" Type="http://schemas.openxmlformats.org/officeDocument/2006/relationships/hyperlink"/><Relationship Id="rId33" Target="https://www.w3.org/TR/WCAG/#language-of-page" TargetMode="External" Type="http://schemas.openxmlformats.org/officeDocument/2006/relationships/hyperlink"/><Relationship Id="rId34" Target="https://www.w3.org/TR/WCAG/#on-focus" TargetMode="External" Type="http://schemas.openxmlformats.org/officeDocument/2006/relationships/hyperlink"/><Relationship Id="rId35" Target="https://www.w3.org/TR/WCAG/#on-input" TargetMode="External" Type="http://schemas.openxmlformats.org/officeDocument/2006/relationships/hyperlink"/><Relationship Id="rId36" Target="https://www.w3.org/TR/WCAG/#labels-or-instructions" TargetMode="External" Type="http://schemas.openxmlformats.org/officeDocument/2006/relationships/hyperlink"/><Relationship Id="rId37" Target="https://www.w3.org/TR/WCAG/#error-suggestion" TargetMode="External" Type="http://schemas.openxmlformats.org/officeDocument/2006/relationships/hyperlink"/><Relationship Id="rId38" Target="https://www.w3.org/TR/WCAG/#error-prevention-legal-financial-data" TargetMode="External" Type="http://schemas.openxmlformats.org/officeDocument/2006/relationships/hyperlink"/><Relationship Id="rId39" Target="https://www.w3.org/TR/WCAG/#parsing" TargetMode="External" Type="http://schemas.openxmlformats.org/officeDocument/2006/relationships/hyperlink"/><Relationship Id="rId4" Target="https://www.w3.org/TR/WCAG/#non-text-contrast" TargetMode="External" Type="http://schemas.openxmlformats.org/officeDocument/2006/relationships/hyperlink"/><Relationship Id="rId40" Target="https://www.w3.org/TR/WCAG/#name-role-value" TargetMode="External" Type="http://schemas.openxmlformats.org/officeDocument/2006/relationships/hyperlink"/><Relationship Id="rId41" Target="https://www.w3.org/TR/WCAG/#bypass-blocks" TargetMode="External" Type="http://schemas.openxmlformats.org/officeDocument/2006/relationships/hyperlink"/><Relationship Id="rId42" Target="https://www.w3.org/TR/WCAG/#page-titled" TargetMode="External" Type="http://schemas.openxmlformats.org/officeDocument/2006/relationships/hyperlink"/><Relationship Id="rId43" Target="https://www.w3.org/TR/WCAG/#multiple-ways" TargetMode="External" Type="http://schemas.openxmlformats.org/officeDocument/2006/relationships/hyperlink"/><Relationship Id="rId44" Target="https://www.w3.org/TR/WCAG/#language-of-parts" TargetMode="External" Type="http://schemas.openxmlformats.org/officeDocument/2006/relationships/hyperlink"/><Relationship Id="rId45" Target="https://www.w3.org/TR/WCAG/#consistent-navigation" TargetMode="External" Type="http://schemas.openxmlformats.org/officeDocument/2006/relationships/hyperlink"/><Relationship Id="rId46" Target="https://www.w3.org/TR/WCAG/#consistent-identification" TargetMode="External" Type="http://schemas.openxmlformats.org/officeDocument/2006/relationships/hyperlink"/><Relationship Id="rId47" Target="https://www.w3.org/TR/WCAG/#status-messages" TargetMode="External" Type="http://schemas.openxmlformats.org/officeDocument/2006/relationships/hyperlink"/><Relationship Id="rId5" Target="https://www.w3.org/TR/WCAG/#reflow" TargetMode="External" Type="http://schemas.openxmlformats.org/officeDocument/2006/relationships/hyperlink"/><Relationship Id="rId6" Target="https://www.w3.org/TR/WCAG/#images-of-text" TargetMode="External" Type="http://schemas.openxmlformats.org/officeDocument/2006/relationships/hyperlink"/><Relationship Id="rId7" Target="https://www.w3.org/TR/WCAG/#resize-text" TargetMode="External" Type="http://schemas.openxmlformats.org/officeDocument/2006/relationships/hyperlink"/><Relationship Id="rId8" Target="https://www.w3.org/TR/WCAG/#contrast-minimum" TargetMode="External" Type="http://schemas.openxmlformats.org/officeDocument/2006/relationships/hyperlink"/><Relationship Id="rId9" Target="https://www.w3.org/TR/WCAG/#audio-control" TargetMode="External" Type="http://schemas.openxmlformats.org/officeDocument/2006/relationships/hyperlink"/></Relationships>
</file>

<file path=xl/drawings/_rels/drawing8.xml.rels><?xml version="1.0" encoding="UTF-8" standalone="yes"?>
<Relationships xmlns="http://schemas.openxmlformats.org/package/2006/relationships"><Relationship Id="rId1" Target="../media/image1.png" Type="http://schemas.openxmlformats.org/officeDocument/2006/relationships/image"/><Relationship Id="rId10" Target="https://www.w3.org/TR/WCAG/#text-spacing" TargetMode="External" Type="http://schemas.openxmlformats.org/officeDocument/2006/relationships/hyperlink"/><Relationship Id="rId11" Target="https://www.w3.org/TR/WCAG/#content-on-hover-or-focus" TargetMode="External" Type="http://schemas.openxmlformats.org/officeDocument/2006/relationships/hyperlink"/><Relationship Id="rId12" Target="https://www.w3.org/TR/WCAG/#keyboard" TargetMode="External" Type="http://schemas.openxmlformats.org/officeDocument/2006/relationships/hyperlink"/><Relationship Id="rId13" Target="https://www.w3.org/TR/WCAG/#three-flashes-or-below-threshold" TargetMode="External" Type="http://schemas.openxmlformats.org/officeDocument/2006/relationships/hyperlink"/><Relationship Id="rId14" Target="https://www.w3.org/TR/WCAG/#character-key-shortcuts" TargetMode="External" Type="http://schemas.openxmlformats.org/officeDocument/2006/relationships/hyperlink"/><Relationship Id="rId15" Target="https://www.w3.org/TR/WCAG/#no-keyboard-trap" TargetMode="External" Type="http://schemas.openxmlformats.org/officeDocument/2006/relationships/hyperlink"/><Relationship Id="rId16" Target="https://www.w3.org/TR/WCAG/#timing-adjustable" TargetMode="External" Type="http://schemas.openxmlformats.org/officeDocument/2006/relationships/hyperlink"/><Relationship Id="rId17" Target="https://www.w3.org/TR/WCAG/#pause-stop-hide" TargetMode="External" Type="http://schemas.openxmlformats.org/officeDocument/2006/relationships/hyperlink"/><Relationship Id="rId18" Target="https://www.w3.org/TR/WCAG/#focus-order" TargetMode="External" Type="http://schemas.openxmlformats.org/officeDocument/2006/relationships/hyperlink"/><Relationship Id="rId19" Target="https://www.w3.org/TR/WCAG/#link-purpose-in-context" TargetMode="External" Type="http://schemas.openxmlformats.org/officeDocument/2006/relationships/hyperlink"/><Relationship Id="rId2" Target="https://www.w3.org/TR/WCAG/#audio-description-or-media-alternative-prerecorded" TargetMode="External" Type="http://schemas.openxmlformats.org/officeDocument/2006/relationships/hyperlink"/><Relationship Id="rId20" Target="https://www.w3.org/TR/WCAG/#headings-and-labels" TargetMode="External" Type="http://schemas.openxmlformats.org/officeDocument/2006/relationships/hyperlink"/><Relationship Id="rId21" Target="https://www.w3.org/TR/WCAG/#focus-visible" TargetMode="External" Type="http://schemas.openxmlformats.org/officeDocument/2006/relationships/hyperlink"/><Relationship Id="rId22" Target="https://www.w3.org/TR/WCAG/#pointer-gestures" TargetMode="External" Type="http://schemas.openxmlformats.org/officeDocument/2006/relationships/hyperlink"/><Relationship Id="rId23" Target="https://www.w3.org/TR/WCAG/#pointer-cancellation" TargetMode="External" Type="http://schemas.openxmlformats.org/officeDocument/2006/relationships/hyperlink"/><Relationship Id="rId24" Target="https://www.w3.org/TR/WCAG/#label-in-name" TargetMode="External" Type="http://schemas.openxmlformats.org/officeDocument/2006/relationships/hyperlink"/><Relationship Id="rId25" Target="https://www.w3.org/TR/WCAG/#motion-actuation" TargetMode="External" Type="http://schemas.openxmlformats.org/officeDocument/2006/relationships/hyperlink"/><Relationship Id="rId26" Target="https://www.w3.org/TR/WCAG/#language-of-page" TargetMode="External" Type="http://schemas.openxmlformats.org/officeDocument/2006/relationships/hyperlink"/><Relationship Id="rId27" Target="https://www.w3.org/TR/WCAG/#page-titled" TargetMode="External" Type="http://schemas.openxmlformats.org/officeDocument/2006/relationships/hyperlink"/><Relationship Id="rId28" Target="https://www.w3.org/TR/WCAG/#on-focus" TargetMode="External" Type="http://schemas.openxmlformats.org/officeDocument/2006/relationships/hyperlink"/><Relationship Id="rId29" Target="https://www.w3.org/TR/WCAG/#language-of-parts" TargetMode="External" Type="http://schemas.openxmlformats.org/officeDocument/2006/relationships/hyperlink"/><Relationship Id="rId3" Target="https://www.w3.org/TR/WCAG/#audio-only-and-video-only-prerecorded" TargetMode="External" Type="http://schemas.openxmlformats.org/officeDocument/2006/relationships/hyperlink"/><Relationship Id="rId30" Target="https://www.w3.org/TR/WCAG/#non-text-contrast" TargetMode="External" Type="http://schemas.openxmlformats.org/officeDocument/2006/relationships/hyperlink"/><Relationship Id="rId31" Target="https://www.w3.org/TR/WCAG/#reflow" TargetMode="External" Type="http://schemas.openxmlformats.org/officeDocument/2006/relationships/hyperlink"/><Relationship Id="rId32" Target="https://www.w3.org/TR/WCAG/#images-of-text" TargetMode="External" Type="http://schemas.openxmlformats.org/officeDocument/2006/relationships/hyperlink"/><Relationship Id="rId33" Target="https://www.w3.org/TR/WCAG/#resize-text" TargetMode="External" Type="http://schemas.openxmlformats.org/officeDocument/2006/relationships/hyperlink"/><Relationship Id="rId34" Target="https://www.w3.org/TR/WCAG/#contrast-minimum" TargetMode="External" Type="http://schemas.openxmlformats.org/officeDocument/2006/relationships/hyperlink"/><Relationship Id="rId35" Target="https://www.w3.org/TR/WCAG/#audio-control" TargetMode="External" Type="http://schemas.openxmlformats.org/officeDocument/2006/relationships/hyperlink"/><Relationship Id="rId36" Target="https://www.w3.org/TR/WCAG/#use-of-color" TargetMode="External" Type="http://schemas.openxmlformats.org/officeDocument/2006/relationships/hyperlink"/><Relationship Id="rId37" Target="https://www.w3.org/TR/WCAG/#identify-input-purpose" TargetMode="External" Type="http://schemas.openxmlformats.org/officeDocument/2006/relationships/hyperlink"/><Relationship Id="rId38" Target="https://www.w3.org/TR/WCAG/#orientation" TargetMode="External" Type="http://schemas.openxmlformats.org/officeDocument/2006/relationships/hyperlink"/><Relationship Id="rId39" Target="https://www.w3.org/TR/WCAG/#sensory-characteristics" TargetMode="External" Type="http://schemas.openxmlformats.org/officeDocument/2006/relationships/hyperlink"/><Relationship Id="rId4" Target="https://www.w3.org/TR/WCAG/#on-input" TargetMode="External" Type="http://schemas.openxmlformats.org/officeDocument/2006/relationships/hyperlink"/><Relationship Id="rId40" Target="https://www.w3.org/TR/WCAG/#meaningful-sequence" TargetMode="External" Type="http://schemas.openxmlformats.org/officeDocument/2006/relationships/hyperlink"/><Relationship Id="rId41" Target="https://www.w3.org/TR/WCAG/#info-and-relationships" TargetMode="External" Type="http://schemas.openxmlformats.org/officeDocument/2006/relationships/hyperlink"/><Relationship Id="rId42" Target="https://www.w3.org/TR/WCAG/#audio-description-prerecorded" TargetMode="External" Type="http://schemas.openxmlformats.org/officeDocument/2006/relationships/hyperlink"/><Relationship Id="rId43" Target="https://www.w3.org/TR/WCAG/#status-messages" TargetMode="External" Type="http://schemas.openxmlformats.org/officeDocument/2006/relationships/hyperlink"/><Relationship Id="rId5" Target="https://www.w3.org/TR/WCAG/#labels-or-instructions" TargetMode="External" Type="http://schemas.openxmlformats.org/officeDocument/2006/relationships/hyperlink"/><Relationship Id="rId6" Target="https://www.w3.org/TR/WCAG/#error-suggestion" TargetMode="External" Type="http://schemas.openxmlformats.org/officeDocument/2006/relationships/hyperlink"/><Relationship Id="rId7" Target="https://www.w3.org/TR/WCAG/#error-prevention-legal-financial-data" TargetMode="External" Type="http://schemas.openxmlformats.org/officeDocument/2006/relationships/hyperlink"/><Relationship Id="rId8" Target="https://www.w3.org/TR/WCAG/#parsing" TargetMode="External" Type="http://schemas.openxmlformats.org/officeDocument/2006/relationships/hyperlink"/><Relationship Id="rId9" Target="https://www.w3.org/TR/WCAG/#name-role-value" TargetMode="External" Type="http://schemas.openxmlformats.org/officeDocument/2006/relationships/hyperlink"/></Relationships>
</file>

<file path=xl/drawings/_rels/drawing9.xml.rels><?xml version="1.0" encoding="UTF-8" standalone="yes"?>
<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  La documentación suministrada por los servicios de apoyo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incorporada a las TIC, estará sujeta a los requisitos de accesibilidad recogidos en este documento  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  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  Los servicios de apoyo para las TIC deben proporcionar información acerca de las características de accesibilidad y compatibilidad que se incluyen en la documentación del producto.   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  La documentación del producto suministrada junto con las TIC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parte integral de las TIC, se proporcionará a través de una interfaz de usuario que sea accesible.  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  La documentación del producto proporcionada con las TIC, tanto si se suministra por separado como si forma parte integral de las TIC, deben enumerar y explicar cómo utilizar las características de accesibilidad y compatibilidad de las TIC.   NOTA 1: Las características de accesibilidad y compatibilidad incluyen las características de accesibilidad integradas, así como las características de accesibilidad que permiten la compatibilidad con las tecnologías de apoyo.  NOTA 2: La práctica más idónea es utilizar los Esquemas WebSchemas/Accessibility 2.0 [i.38] para proporcionar los metadatos sobre la accesibilidad de las TIC.  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  Condición: Cuando el contenido web convierta informaciones o comunicaciones.  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  Condición: Cuando el contenido web utilice características biológicas.  Cuando las TIC utilicen características biológicas, no debe depender del uso de una característica biológica particular como único medio de identificación del usuario o de control de las TIC.   NOTA 1: Los medios alternativos de identificación del usuario o de control de las TIC puedenn ser biométricos o no biométricos.  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  Condición: Cuando el contenido web utilice características de accesibilidad documentadas.   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a) TIC que interoperen con otras TIC que se conecten directamente a la Red Telefónica Pública Conmutada (RTPC) según la Recomendación ITU-T V.18 [i.23] o cualquiera de sus anexos relativos a las señales de telefonía con texto en la interfaz de la RTPC.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  Condición: Cuando las páginas web proporcionen comunicación bidireccional por voz y tengan capacidades de RTT.  Cuando las TIC proporcionen comunicación bidireccional por voz y tengan capacidades de RTT, deben proporcionar en pantalla un indicador visual de la actividad de audio en tiempo real .  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  Condición: Cuando las páginas web tengan capacidades de RTT y faciliten la identificación del hablante por voz.  Cuando las TIC tengan capacidades de RTT y faciliten la identificación del hablante por voz, deben proporcionar la identificación del hablante por RTT.   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  Condición: Cuando las páginas web tengan capacidades de envío y recepción de RTT.  Cuando las TIC tengan capacidades de envío y recepción de RTT, la dirección de envío y recepción del texto transmitido debe poder determinarse por software, salvo que el RTT esté implementado como funcionalidad cerrada.    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  Condición: Cuando las páginas web tengan capacidades de envío y recepción de RTT.  Cuando las TIC tengan capacidades de envío y recepción de RTT, el texto enviado que se muestra debe encontrarse visualmente diferenciado y separado del texto recibido.   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  Condición: Cuando las páginas web proporcionen un medio de comunicación bidireccional por voz para permitir a los usuarios comunicarse mediante RTT.  Cuando las TIC proporcionen un medio de comunicación bidireccional por voz para permitir a los usuarios comunicarse mediante RTT, deben permitir la transmisión simultánea de voz y texto a través de una única conexión de usuario .   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 NOTA 2: En la comunicación multiparte, la práctica más idónea consiste en manejar el alzado de mano de los usuarios de voz y de RTT de idéntica forma para que los usuarios de voz y de RTT estén en la misma cola.  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  Condición: Cuando las páginas web se encuentren en un modo que proporcione una comunicación bidireccional por voz.  Cuando las TIC se encuentren en un modo que proporcione una comunicación bidireccional por voz, deben proporcionar un modo de comunicación bidireccional mediante RTT, salvo que fuese necesario modificar el diseño para incorporar hardware de entrada o salida a las TIC.   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NOTA 2: No se establece ningún requisito relativo a añadir una pantalla física, un teclado físico o hardware compatible con la capacidad de conectarse a una pantalla o teclado, con o sin cable, en el caso de que, de forma habitual, dicho hardware no se suministrase . 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  Condición: Cuando las páginas web proporcionen comunicación bidireccional por voz.  Cuando las TIC proporcionen comunicación bidireccional por voz, dichas TIC deben poder codificar y descodificar la comunicación bidireccional por voz con una gama de frecuencias cuyo límite superior sea como mínimo 7 000 Hz a fin de proporcionar una buena calidad de audio.   NOTA 1: A efectos de la interoperabilidad es frecuente recurrir a la Recomendación ITU-T G.722 [i.21].  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d) TIC que interoperen con otras TIC mediante una norma de RTT que haya sido introducida para su uso en cualquiera de los entornos arriba mencionados y sea compatible con todas las TIC activas que sean compatibles con voz y RTT en ese entorno.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  Condición: Cuando las páginas web utilicen una entrada de RTT.  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NOTA 2: El límite de 500 ms permite el almacenamiento intermedio de caracteres durante este periodo antes de su transmisión, por lo que no es necesaria la transmisión por caracteres a no ser que los caracteres se generen a un ritmo menor de 1 por 500 ms.  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  Condición: Cuando las páginas web proporcionen identificación de llamadas o funciones similares de telecomunicación.  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  Condición: Cuando las páginas web proporcionen un servicio de comunicación basada en voz en tiempo real e igualmente facilidades de buzón de voz, asistente automático o respuesta interactiva de voz.  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NOTA 1 Se requeriría, para las tareas que implican tanto la operación de la interfaz como la percepción de la información, que tanto la interfaz como la información fueran accesibles sin la necesidad de utilizar la voz o la audición.  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  Condición: Cuando las páginas web proporcionen comunicación bidireccional por voz incluyan una funcionalidad de vídeo en tiempo real.  En el caso de que unas TIC que proporcionen comunicación bidireccional por voz incluyan una funcionalidad de vídeo en tiempo real, las TIC:  a) deben ser compatible con una resolución QVGA como mínimo.   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a) deben ser compatible con una frecuencia de imagen de 20 FPS como mínimo.  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deben garantizar una diferencia temporal máxima de 100 ms entre la presentación de la voz y el vídeo al usuario.   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  Condición: Cuando las páginas web proporcionen comunicación bidireccional por voz e incluyan una funcionalidad de vídeo en tiempo real.  En el caso de que unas TIC qproporcionen comunicación bidireccional por voz e incluyan una funcionalidad de vídeo en tiempo real, deben proporcionar un indicador visual de la actividad de audio en tiempo real.   NOTA 1: El indicador visual puede ser un punto visual sencillo o LED, u otro tipo de indicador de encendido/apagado, que parpadea para indicar la actividad de audio.  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  Condición: Cuando las páginas web proporcionen identificación del hablante para usuarios de voz.  Cuando las TIC proporcionen identificación del hablante para usuarios de voz, deben, una vez que se haya indicado el comienzo del uso de la lengua de signos, facilitar un modo para la identificación del hablante para los usuarios de lengua de signos en tiempo real.   NOTA 1: En llamadas multiparte, la identificación del hablante puede estar en el mismo sitio que la de los usuarios de voz.  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  Condición: Cuando el contenido web permita visualizar vídeo.  Cuando las TIC transmitan, conviertan o graben vídeo con audio sincronizado, deben preservar los datos de los subtítulos de forma que puedan visualizarse en consonancia con los apartados 7.1.1 y 7.1.2.  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  Condición: Cuando el contenido web permita visualizar vídeo.  Cuando las TIC permitan visualizar subtítulos, el mecanismo que permita visualizarlos debe preservar la sincronización entre el audio y los correspondientes subtítulos como sigue:  • Los subtítulos de grabaciones: dentro de 100 ms a partir de la marca temporal del subtitulo.  •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  Condición: Cuando el contenido web permita visualizar vídeo.  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NOTA 2: Si se encuentra conectado un dispositivo braille, las TIC deberían proporcionar una opción para la reproducción de los subtítulos en el dispositivo braille.  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  Condición: Cuando las páginas web permitan visualizar vídeo.  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NOTA 1: Los controles de los medios principales son el conjunto de controles que el usuario utiliza de forma habitual para controlar los medios.  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  Condición: Cuando el contenido web permita visualizar vídeo.  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  Condición: Cuando el contenido web disponga de un mecanismo para reproducir la audiodescripción.  Cuando las TIC dispongan de un mecanismo para reproducir la audiodescripción, debe preservar la sincronización entre el contenido de audio o visual y la correspondiente audiodescripción.  ">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  Condición: Cuando el contenido web visualice vídeo con audio sincronizado.  Cuando las TIC visualicen vídeo con audio sincronizado, debe proporcionar un mecanismo para seleccionar la audiodescripción disponible y reproducirla por el canal de audio predeterminado. En el caso de que las tecnologías de vídeo no tengan mecanismos explícitos y separados para la audiodescripción, se considera que el contenido web satisface este requisito si permite al usuario seleccionar y reproducir varias pistas de audio.    NOTA 1: En esos casos, el contenido de vídeo puede incluir la audiodescripción como una de las pistas de audio disponibles.  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  Condición: Cuando el contenido web permita visualizar subtítulos.  Cuando las TIC permitan visualizar subtítulos, deben proporcionar un modo en el que el usuario pueda adaptar las características visualizadas de los subtítulos a sus requisitos individuales, salvo en el caso de que los subtítulos se visualicen como caracteres no modificables.   NOTA 1 La definición de los colores de fondo y principales de los subtítulos, de su tipo y cuerpo de letra, de la opacidad de la caja de fondo de los subtítulos, y del contorno o borde de los tipos de letra, puede contribuir al cumplimiento de este requisito.  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  Condición: Cuando el contenido web visualice vídeo con audio sincronizado.  Cuando las TIC visualicen vídeo con audio sincronizado, deben proporcionar un modo de operación que facilite una salida hablada de los subtítulos disponibles, salvo en el caso de que el contenido de los subtítulos visualizados no sea determinable por software.   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NOTA 2: La sincronización entre la presentación de la pista de audio separada con los subtítulos hablados y los subtítulos visualizados mejora la comprensibilidad de los subtítulos.  NOTA 3: El suministro de subtítulos como flujos de texto separados facilita la conversión de los textos respectivos a audio.  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  Condición: Cuando las TIC sean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  Condición: Cuando las TIC sean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  Condición: Cuando las TIC sean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  Condición: Cuando las TIC sean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  Condición: Cuando las TIC sean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  Condición: Cuando las TIC sean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  Condición: Cuando las TIC sean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  Condición: Cuando las TIC sean una página web.  Si el audio de una página web suena automáticamente durante más de 3 segundos, se proporciona ya sea un mecanismo para pausar o detener el audio, o un mecanismo para controlar el volumen del sonido que es independiente del nivel de volumen global del sistema. (Nivel A)  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  Condición: Cuando las TIC sean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  Condición: Cuando las TIC sean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  Condición: Cuando las TIC sean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  Condición: Cuando las TIC sean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  Condición: Cuando las TIC sean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  Condición: Cuando las TIC sean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  Condición: Cuando las TIC sean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  (Condicional) Condición: Cuando las TIC sean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  Condición: Cuando las TIC sean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  Condición: Cuando las TIC sean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  Condición: Cuando las TIC sean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  Condición: Cuando las TIC sean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  Condición: Cuando las TIC sean una página web.  Las páginas web no contienen nada que destelle más de tres veces en un segundo, o el destello está por debajo del umbral de destello general y de destello rojo. (Nivel A)  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  Condición: Cuando las TIC sean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  Condición: Cuando las TIC sean una página web.  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  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  Condición: Cuando las TIC sean una página web.  Para cada límite de tiempo impuesto por el contenid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  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  Condición: Cuando las TIC sean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  Condición: Cuando las TIC sean una página web.  Si se puede navegar secuencialmente por una página web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  Condición: Cuando las TIC sean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  Condición: Cuando las TIC sean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  Condición: Cuando las TIC sean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  Condición: Cuando las TIC sean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  Condición: Cuando las TIC sean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  Condición: Cuando las TIC sean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  Condición: Cuando las TIC sean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  Condición: Cuando las TIC sean una página web.  El idioma predeterminado de cada página web puede ser determinado por software. (Nivel A)  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  Condición: Cuando las TIC sean una página web.  Cuando cualquier componente recibe el foco, no inicia ningún cambio en el contexto. (Nivel A)  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  Condición: Cuando las TIC sean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  Condición: Cuando las TIC sean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  Condición: Cuando las TIC sean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  Condición: Cuando las TIC sean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  Condición: Cuando las TIC sean una página web.  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  Condición: Cuando las TIC sean una página web.  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  Condición: Cuando las TIC sean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  Condición: Cuando las TIC sean una página web.  Existe un mecanismo para evitar los bloques de contenido que se repiten en múltiples páginas web. (Nivel A)  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  Condición: Cuando las TIC sean una página web.  Las páginas web tienen títulos que describen su temática o propósito. (Nivel A)  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  Condición: Cuando las TIC sean una página web.  Se proporciona más de un camino para localizar una página web dentro de un conjunto de páginas web, excepto cuando la página es el resultado, o un paso intermedio, de un proceso. (Nivel AA)   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  Condición: Cuando las TIC sean una página web.  El idioma de cada pasaje o frase en el contenido puede ser determinado por software, excepto los nombres propios, términos técnicos, palabras en un idioma indeterminado y palabras o frases que se hayan convertido en parte natural del texto que las rodea. (Nivel AA)  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  Condición: Cuando las TIC sean una página web.  Los mecanismos de navegación que se repiten en múltiples páginas web dentro de un conjunto de páginas web aparecen siempre en el mismo orden relativo cada vez que se repiten, a menos que el cambio sea provocado por el propio usuario. (Nivel AA)  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  Condición: Cuando las TIC sean una página web.  Los componentes que tienen la misma funcionalidad dentro de un conjunto de páginas web son identificados de manera coherente. (Nivel AA)  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  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  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  Condición: Cuando las TIC sean una página web.  En el contenido implementado utilizando lenguajes de marcado, los mensajes de estado se pueden determinar mediante roles o propiedades, de modo que se puedan presentar al usuario mediante tecnologías de asistencia sin recibir atención.  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  Condición: Cuando las TIC sean una página web  Se deben satisfacer, en el nivel AA, los cinco requisitos de conformidad de las Pautas WCAG 2.1 siguientes [5]:  1) nivel de conformidad;  2) páginas completas;  3) procesos completos;  4) uso de tecnologías exclusivamente según métodos que sean compatibles con la accesibilidad;  5) sin interferencia.   NOTA 1: En el caso de que una página web cumpla todos los requisitos 9.1 a 9.4 o se proporcione una versión alternativa conforme al nivel AA (como se define en las Pautas WCAG 2.1 [5]), se cumplirá el requisito de conformidad 1.  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  Condición: Cuando los documentos se puedan descargar de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  Condición: Cuando los documentos se puedan descargar de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  Condición: Cuando los documentos se puedan descargar de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  Condición: Cuando los documentos se puedan descargar de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  Condición: Cuando los documentos se puedan descargar de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  Condición: Cuando los documentos se puedan descargar de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  Condición: Cuando los documentos se puedan descargar de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  Condición: Cuando los documentos se puedan descargar de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  Condición: Cuando los documentos se puedan descargar de una página web.  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  Condición: Cuando los documentos se puedan descargar de una página web.  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  Condición: Cuando los documentos se puedan descargar de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  Condición: Cuando los documentos se puedan descargar de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  Condición: Cuando los documentos se puedan descargar de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  Condición: Cuando los documentos se puedan descargar de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  Condición: Cuando los documentos se puedan descargar de una página web.  Los documentos no contienen nada que destelle más de tres veces en un segundo, o el destello está por debajo del umbral de destello general y de destello rojo. (Nivel A)  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  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  Condición: Cuando los documentos se puedan descargar de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  Condición: Cuando los documentos se puedan descargar de una página web.  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  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  Condición: Cuando los documentos se puedan descargar de una página web.  Para cada límite de tiempo impuesto por el document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  Condición: Cuando los documentos se puedan descargar de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  Condición: Cuando los documentos se puedan descargar de una página web.  Si se puede navegar secuencialmente por un documento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  Condición: Cuando los documentos se puedan descargar de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  Condición: Cuando los documentos se puedan descargar de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  Condición: Cuando los documentos se puedan descargar de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  Condición: Cuando los documentos se puedan descargar de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  Condición: Cuando los documentos se puedan descargar de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  Condición: Cuando los documentos se puedan descargar de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  Condición: Cuando los documentos se puedan descargar de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  Condición: Cuando los documentos se puedan descargar de una página web.  El idioma predeterminado de cada documento puede ser determinado por software. (Nivel A)  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  Condición: Cuando los documentos se puedan descargar de una página web.  Los documentos tienen títulos que describen el tema o propósito.   Nota: El nombre del documento (por ejemplo, documento, archivo multimedia) basta como título si describe el tema o propósito.     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  Condición: Cuando los documentos se puedan descargar de una página web.  Cuando cualquier componente recibe el foco, no inicia ningún cambio en el contexto. (Nivel A)  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  Condición: Cuando los documentos se puedan descargar de una página web.  El idioma de cada pasaje o frase en el documento puede ser determinado por software, excepto los nombres propios, los términos técnicos, las palabras que estén en un idioma indeterminado y las palabras o frases que se hayan convertido en parte natural del texto que las rodea.   (Nivel AA)  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  Condición: Cuando los documentos se puedan descargar de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  Condición: Cuando los documentos se puedan descargar de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  Condición: Cuando los documentos se puedan descargar de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  Condición: Cuando los documentos se puedan descargar de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  Condición: Cuando los documentos se puedan descargar de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  Condición: Cuando los documentos se puedan descargar de una página web.  Si el audio de un documento suena automáticamente durante más de 3 segundos, se proporciona ya sea un mecanismo para pausar o detener el audio, o un mecanismo para controlar el volumen del sonido que es independiente del nivel de volumen global del sistema. (Nivel A)  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  Condición: Cuando los documentos se puedan descargar de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  Condición: Cuando los documentos se puedan descargar de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  Condición: Cuando los documentos se puedan descargar de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  Condición: Cuando los documentos se puedan descargar de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  Condición: Cuando los documentos se puedan descargar de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  Condición: Cuando los documentos se puedan descargar de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  Condición: Cuando los documentos se puedan descargar de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  Condición: Cuando los documentos se puedan descargar de una página web.  En el contenido implementado utilizando lenguajes de marcado, los mensajes de estado se pueden determinar mediante roles o propiedades, de modo que se puedan presentar al usuario mediante tecnologías de asistencia sin recibir atención.   Nota: Si el elemento de la muestra es un documento descargable, no debe comprobar este criterio.  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  Condición: Cuando el contenido web sea una herramienta de autor.  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  Condición: Cuando el contenido web sea una herramienta de autor.  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NOTA: Esto no excluye una reparación automática o semiautomática, que es posible (y recomendable) para muchos de los tipos de problemas de accesibilidad del contenido.  ">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  Condición: Cuando el conteido web sea una herramienta de autor.  Si la herramienta de autor proporciona transformaciones de reestructuración o de recodificación y si en la tecnología de gestión de contenidos de la salida existen mecanismos equivalentes, entonces la información de accesibilidad debe preservarse en la salida.   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  Condición: Cuando el contenido web sea una herramienta de autor.  Las herramientas de autor deben permitir y guiar la producción de contenidos conforme a los capítulos 9 (Web) o 10 (Documentos no web), según proceda.   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  Condición: Cuando el contenido web sea una herramienta de autor.   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  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NOTA 1: El software que está aislado de su plataforma subyacente no tiene acceso a la configuración de la plataforma establecida por el usuario y, por lo tanto, no puede atenerse a ella.  NOTA 2: Para los contenidos web, el agente de usuario constituye la plataforma subyacente.  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arget="file:///C:/Users/david.lubian/Desktop/Informe%20Revision%20Accesibilidad%20-%20Sitios%20web%20-%20v2.0_desprotegido.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id="1" name="Ambito_tematico" displayName="Ambito_tematico" ref="E9:E17"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arget="http://administracionelectronica.gob.es/PAe/accesibilidad/documentacion/guia_validacion_accesibilidad" TargetMode="External" Type="http://schemas.openxmlformats.org/officeDocument/2006/relationships/hyperlink"/><Relationship Id="rId2" Target="http://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10.xml.rels><?xml version="1.0" encoding="UTF-8" standalone="yes"?>
<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
<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
<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
<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
<Relationships xmlns="http://schemas.openxmlformats.org/package/2006/relationships"><Relationship Id="rId1" Target="../tables/table1.xml" Type="http://schemas.openxmlformats.org/officeDocument/2006/relationships/table"/><Relationship Id="rId2" Target="../tables/table2.xml" Type="http://schemas.openxmlformats.org/officeDocument/2006/relationships/table"/></Relationships>
</file>

<file path=xl/worksheets/_rels/sheet15.xml.rels><?xml version="1.0" encoding="UTF-8" standalone="yes"?>
<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
<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
<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
<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5.xml.rels><?xml version="1.0" encoding="UTF-8" standalone="yes"?>
<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6.xml.rels><?xml version="1.0" encoding="UTF-8" standalone="yes"?>
<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
<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
<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
<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L22"/>
  <sheetViews>
    <sheetView tabSelected="1" zoomScale="90" zoomScaleNormal="90" workbookViewId="0">
      <selection activeCell="N2" sqref="N2"/>
    </sheetView>
  </sheetViews>
  <sheetFormatPr baseColWidth="10" defaultColWidth="11.5703125" defaultRowHeight="12.75"/>
  <cols>
    <col min="1" max="1" customWidth="true" width="11.7109375" collapsed="false"/>
    <col min="14" max="14" customWidth="true" width="18.28515625" collapsed="false"/>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478</v>
      </c>
      <c r="O2" s="3"/>
      <c r="P2" s="3"/>
      <c r="Q2" s="3"/>
      <c r="R2" s="3"/>
      <c r="S2" s="3"/>
      <c r="T2" s="3"/>
      <c r="U2" s="3"/>
      <c r="V2" s="3"/>
      <c r="W2" s="3"/>
      <c r="X2" s="3"/>
      <c r="Y2" s="3"/>
      <c r="Z2" s="3"/>
    </row>
    <row r="3" spans="1:64" ht="23.65" customHeight="1" thickTop="1">
      <c r="A3" s="1"/>
      <c r="B3" s="5" t="s">
        <v>278</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216" customHeight="1">
      <c r="B9" s="245" t="s">
        <v>470</v>
      </c>
      <c r="C9" s="245"/>
      <c r="D9" s="245"/>
      <c r="E9" s="245"/>
      <c r="F9" s="245"/>
      <c r="G9" s="245"/>
      <c r="H9" s="245"/>
      <c r="I9" s="245"/>
      <c r="J9" s="245"/>
      <c r="K9" s="245"/>
      <c r="L9" s="245"/>
      <c r="M9" s="245"/>
      <c r="N9" s="245"/>
    </row>
    <row r="10" spans="1:64" ht="13.5" customHeight="1"/>
    <row r="11" spans="1:64" ht="86.25" customHeight="1">
      <c r="B11" s="245" t="s">
        <v>279</v>
      </c>
      <c r="C11" s="245"/>
      <c r="D11" s="245"/>
      <c r="E11" s="245"/>
      <c r="F11" s="245"/>
      <c r="G11" s="245"/>
      <c r="H11" s="245"/>
      <c r="I11" s="245"/>
      <c r="J11" s="245"/>
      <c r="K11" s="245"/>
      <c r="L11" s="245"/>
      <c r="M11" s="245"/>
      <c r="N11" s="245"/>
    </row>
    <row r="12" spans="1:64" ht="13.5" customHeight="1"/>
    <row r="13" spans="1:64" ht="319.5" customHeight="1">
      <c r="B13" s="245" t="s">
        <v>469</v>
      </c>
      <c r="C13" s="245"/>
      <c r="D13" s="245"/>
      <c r="E13" s="245"/>
      <c r="F13" s="245"/>
      <c r="G13" s="245"/>
      <c r="H13" s="245"/>
      <c r="I13" s="245"/>
      <c r="J13" s="245"/>
      <c r="K13" s="245"/>
      <c r="L13" s="245"/>
      <c r="M13" s="245"/>
      <c r="N13" s="245"/>
    </row>
    <row r="15" spans="1:64" ht="274.5" customHeight="1">
      <c r="B15" s="246" t="s">
        <v>473</v>
      </c>
      <c r="C15" s="246"/>
      <c r="D15" s="246"/>
      <c r="E15" s="246"/>
      <c r="F15" s="246"/>
      <c r="G15" s="246"/>
      <c r="H15" s="246"/>
      <c r="I15" s="246"/>
      <c r="J15" s="246"/>
      <c r="K15" s="246"/>
      <c r="L15" s="246"/>
      <c r="M15" s="246"/>
      <c r="N15" s="246"/>
    </row>
    <row r="17" spans="2:14" ht="29.25" customHeight="1">
      <c r="B17" s="247" t="s">
        <v>272</v>
      </c>
      <c r="C17" s="247"/>
      <c r="D17" s="247"/>
      <c r="E17" s="247"/>
      <c r="F17" s="247"/>
      <c r="G17" s="247"/>
      <c r="H17" s="247"/>
      <c r="I17" s="247"/>
      <c r="J17" s="247"/>
      <c r="K17" s="247"/>
      <c r="L17" s="247"/>
      <c r="M17" s="247"/>
      <c r="N17" s="247"/>
    </row>
    <row r="19" spans="2:14" ht="18.75">
      <c r="B19" s="213" t="s">
        <v>357</v>
      </c>
      <c r="C19" s="212"/>
      <c r="D19" s="212"/>
      <c r="E19" s="212"/>
      <c r="F19" s="212"/>
      <c r="G19" s="212"/>
      <c r="H19" s="212"/>
      <c r="I19" s="212"/>
      <c r="J19" s="212"/>
      <c r="K19" s="212"/>
      <c r="L19" s="212"/>
      <c r="M19" s="212"/>
      <c r="N19" s="212"/>
    </row>
    <row r="20" spans="2:14" ht="18.75">
      <c r="B20" s="210" t="s">
        <v>280</v>
      </c>
      <c r="C20" s="211"/>
      <c r="D20" s="211"/>
      <c r="E20" s="211"/>
      <c r="F20" s="211"/>
      <c r="G20" s="211"/>
      <c r="H20" s="211"/>
      <c r="I20" s="211"/>
      <c r="J20" s="211"/>
      <c r="K20" s="211"/>
      <c r="L20" s="211"/>
      <c r="M20" s="211"/>
      <c r="N20" s="211"/>
    </row>
    <row r="22" spans="2:14" ht="15">
      <c r="B22" s="12"/>
    </row>
  </sheetData>
  <sheetCalcPr fullCalcOnLoad="true"/>
  <sheetProtection password="DC4E" sheet="true" scenarios="true" objects="true"/>
  <mergeCells count="5">
    <mergeCell ref="B9:N9"/>
    <mergeCell ref="B11:N11"/>
    <mergeCell ref="B13:N13"/>
    <mergeCell ref="B15:N15"/>
    <mergeCell ref="B17:N17"/>
  </mergeCells>
  <hyperlinks>
    <hyperlink ref="B20" r:id="rId1" display="http://administracionelectronica.gob.es/PAe/accesibilidad/documentacion/guia_validacion_accesibilidad"/>
    <hyperlink ref="B19:N19" r:id="rId2" display="1 http://www.etsi.org/deliver/etsi_en/301500_301599/301549/03.02.01_60/en_301549v030201p.pdf"/>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L244"/>
  <sheetViews>
    <sheetView topLeftCell="E100" zoomScale="70" zoomScaleNormal="70" workbookViewId="0">
      <selection activeCell="D19" sqref="D1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71.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03" t="s">
        <v>22</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95" customHeight="1">
      <c r="B8" s="265" t="s">
        <v>322</v>
      </c>
      <c r="C8" s="265"/>
      <c r="D8" s="265"/>
      <c r="E8" s="265"/>
      <c r="F8" s="265"/>
      <c r="G8" s="265"/>
      <c r="H8" s="265"/>
      <c r="I8" s="265"/>
      <c r="J8" s="265"/>
      <c r="K8" s="265"/>
      <c r="L8" s="265"/>
      <c r="M8" s="265"/>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2" t="s">
        <v>152</v>
      </c>
      <c r="C11" s="263"/>
      <c r="D11" s="28"/>
      <c r="E11" s="14"/>
      <c r="F11" s="104" t="s">
        <v>23</v>
      </c>
      <c r="G11" s="136" t="s">
        <v>359</v>
      </c>
      <c r="H11" s="105" t="s">
        <v>24</v>
      </c>
      <c r="I11" s="23"/>
      <c r="J11" s="104" t="s">
        <v>25</v>
      </c>
      <c r="K11" s="136" t="s">
        <v>359</v>
      </c>
      <c r="L11" s="105" t="s">
        <v>24</v>
      </c>
      <c r="M11" s="19"/>
      <c r="N11" s="19"/>
      <c r="O11" s="19"/>
      <c r="P11" s="19"/>
      <c r="Q11" s="19"/>
      <c r="R11" s="19"/>
      <c r="U11" s="19"/>
      <c r="V11" s="19"/>
      <c r="W11" s="19"/>
      <c r="X11" s="19"/>
      <c r="Y11" s="19"/>
    </row>
    <row r="12" spans="1:64" ht="12" customHeight="1">
      <c r="B12" s="143" t="s">
        <v>90</v>
      </c>
      <c r="C12" s="57" t="n">
        <f>COUNTIF($B$18:$B$243,B12)</f>
        <v>6.0</v>
      </c>
      <c r="D12" s="28"/>
      <c r="E12" s="14"/>
      <c r="F12" s="62" t="s">
        <v>26</v>
      </c>
      <c r="G12" s="61" t="n">
        <f ca="1">J20+J58+J96+J134+J172+J210</f>
        <v>0.0</v>
      </c>
      <c r="H12" s="53" t="n">
        <f ca="1">IF(($G$15+$K$15)=0,0,G12/($G$15+$K$15))</f>
        <v>0.0</v>
      </c>
      <c r="I12" s="28"/>
      <c r="J12" s="60" t="s">
        <v>27</v>
      </c>
      <c r="K12" s="61" t="n">
        <f ca="1">G20+G58+G96+G134+G172+G210</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f>
        <v>0.0</v>
      </c>
      <c r="H13" s="53" t="n">
        <f ca="1">IF(($G$15+$K$15)=0,0,G13/($G$15+$K$15))</f>
        <v>0.0</v>
      </c>
      <c r="I13" s="28"/>
      <c r="J13" s="60" t="s">
        <v>29</v>
      </c>
      <c r="K13" s="61" t="n">
        <f ca="1">F20+F58+F96+F134+F172+F210</f>
        <v>198.0</v>
      </c>
      <c r="L13" s="53" t="n">
        <f ca="1">IF(($G$15+$K$15)=0,0,K13/($G$15+$K$15))</f>
        <v>1.0</v>
      </c>
      <c r="M13" s="19"/>
      <c r="N13" s="19"/>
      <c r="O13" s="19"/>
      <c r="P13" s="19"/>
      <c r="Q13" s="19"/>
      <c r="R13" s="19"/>
      <c r="U13" s="19"/>
      <c r="V13" s="19"/>
      <c r="W13" s="19"/>
      <c r="X13" s="19"/>
      <c r="Y13" s="19"/>
    </row>
    <row r="14" spans="1:64" ht="12" customHeight="1" thickBot="1">
      <c r="B14" s="58" t="s">
        <v>30</v>
      </c>
      <c r="C14" s="59" t="n">
        <f>C12+C13</f>
        <v>6.0</v>
      </c>
      <c r="D14" s="28"/>
      <c r="E14" s="14"/>
      <c r="F14" s="62" t="s">
        <v>31</v>
      </c>
      <c r="G14" s="61" t="n">
        <f ca="1">H20+H58+H96+H134+H172+H210</f>
        <v>0.0</v>
      </c>
      <c r="H14" s="53" t="n">
        <f ca="1">IF(($G$15+$K$15)=0,0,G14/($G$15+$K$15))</f>
        <v>0.0</v>
      </c>
      <c r="I14" s="28"/>
      <c r="J14" s="231" t="s">
        <v>474</v>
      </c>
      <c r="K14" s="232" t="n">
        <f ca="1">K20+K58+K96+K134+K172+K210</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198.0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268</v>
      </c>
      <c r="B18" s="24" t="s">
        <v>90</v>
      </c>
      <c r="C18" s="25" t="s">
        <v>91</v>
      </c>
      <c r="D18" s="26" t="s">
        <v>32</v>
      </c>
      <c r="E18" s="123"/>
      <c r="K18" s="19"/>
    </row>
    <row r="19" spans="1:13"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row>
    <row r="20" spans="1:13"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row>
    <row r="21" spans="1:13"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G21" s="19"/>
      <c r="H21" s="19"/>
      <c r="I21" s="19"/>
      <c r="J21" s="19"/>
      <c r="K21" s="19"/>
    </row>
    <row r="22" spans="1:13"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G22" s="19"/>
      <c r="H22" s="19"/>
      <c r="I22" s="19"/>
      <c r="J22" s="19"/>
      <c r="K22" s="214" t="s">
        <v>33</v>
      </c>
      <c r="L22" s="121" t="s">
        <v>34</v>
      </c>
    </row>
    <row r="23" spans="1:13"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G23" s="19"/>
      <c r="H23" s="19"/>
      <c r="I23" s="19"/>
      <c r="J23" s="19"/>
      <c r="K23" s="117" t="s">
        <v>35</v>
      </c>
      <c r="L23" s="121" t="s">
        <v>36</v>
      </c>
    </row>
    <row r="24" spans="1:13"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G24" s="19"/>
      <c r="H24" s="19"/>
      <c r="I24" s="19"/>
      <c r="J24" s="19"/>
      <c r="K24" s="116" t="s">
        <v>37</v>
      </c>
      <c r="L24" s="121" t="s">
        <v>38</v>
      </c>
    </row>
    <row r="25" spans="1:13"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row>
    <row r="26" spans="1:13"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row>
    <row r="27" spans="1:13"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K27" s="19"/>
    </row>
    <row r="28" spans="1:13"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K28" s="19"/>
    </row>
    <row r="29" spans="1:13"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K29" s="19"/>
    </row>
    <row r="30" spans="1:13"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row>
    <row r="31" spans="1:13"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row>
    <row r="32" spans="1:13"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row>
    <row r="33" spans="1:11"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row>
    <row r="34" spans="1:11"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row>
    <row r="35" spans="1:11"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row>
    <row r="36" spans="1:11"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row>
    <row r="37" spans="1:11"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row>
    <row r="38" spans="1:11"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row>
    <row r="39" spans="1:11"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row>
    <row r="40" spans="1:11"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row>
    <row r="41" spans="1:11"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row>
    <row r="42" spans="1:11"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row>
    <row r="43" spans="1:11"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row>
    <row r="44" spans="1:11"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row>
    <row r="45" spans="1:11"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row>
    <row r="46" spans="1:11"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G46" s="19"/>
      <c r="H46" s="19"/>
      <c r="I46" s="19"/>
      <c r="J46" s="19"/>
      <c r="K46" s="19"/>
    </row>
    <row r="47" spans="1:11"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G47" s="19"/>
      <c r="H47" s="19"/>
      <c r="I47" s="19"/>
      <c r="J47" s="19"/>
      <c r="K47" s="19"/>
    </row>
    <row r="48" spans="1:11"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G48" s="19"/>
      <c r="H48" s="19"/>
      <c r="I48" s="19"/>
      <c r="J48" s="19"/>
      <c r="K48" s="19"/>
    </row>
    <row r="49" spans="1:11"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G49" s="19"/>
      <c r="H49" s="19"/>
      <c r="I49" s="19"/>
      <c r="J49" s="19"/>
      <c r="K49" s="19"/>
    </row>
    <row r="50" spans="1:11"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G50" s="19"/>
      <c r="H50" s="19"/>
      <c r="I50" s="19"/>
      <c r="J50" s="19"/>
      <c r="K50" s="19"/>
    </row>
    <row r="51" spans="1:11"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G51" s="19"/>
      <c r="H51" s="19"/>
      <c r="I51" s="19"/>
      <c r="J51" s="19"/>
      <c r="K51" s="19"/>
    </row>
    <row r="52" spans="1:11"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268</v>
      </c>
      <c r="B56" s="24" t="s">
        <v>90</v>
      </c>
      <c r="C56" s="25" t="s">
        <v>262</v>
      </c>
      <c r="D56" s="26" t="s">
        <v>32</v>
      </c>
      <c r="E56" s="123"/>
    </row>
    <row r="57" spans="1:11"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row>
    <row r="58" spans="1:11"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row>
    <row r="59" spans="1:11"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row>
    <row r="60" spans="1:11"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row>
    <row r="61" spans="1:11"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row>
    <row r="62" spans="1:11"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row>
    <row r="63" spans="1:11"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row>
    <row r="64" spans="1:11"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row>
    <row r="65" spans="1:11"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row>
    <row r="66" spans="1:11"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row>
    <row r="67" spans="1:11"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row>
    <row r="68" spans="1:11"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row>
    <row r="69" spans="1:11"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row>
    <row r="70" spans="1:11"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row>
    <row r="71" spans="1:11"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row>
    <row r="72" spans="1:11"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row>
    <row r="73" spans="1:11"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row>
    <row r="74" spans="1:11"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row>
    <row r="75" spans="1:11"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row>
    <row r="76" spans="1:11"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row>
    <row r="77" spans="1:11"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row>
    <row r="78" spans="1:11"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row>
    <row r="79" spans="1:11"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row>
    <row r="80" spans="1:11"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row>
    <row r="81" spans="1:11"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row>
    <row r="82" spans="1:11"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row>
    <row r="83" spans="1:11"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row>
    <row r="84" spans="1:11"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row>
    <row r="85" spans="1:11"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F85" s="124"/>
      <c r="G85" s="19"/>
      <c r="H85" s="19"/>
      <c r="I85" s="19"/>
      <c r="J85" s="19"/>
      <c r="K85" s="233"/>
    </row>
    <row r="86" spans="1:11"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F86" s="124"/>
      <c r="G86" s="19"/>
      <c r="H86" s="19"/>
      <c r="I86" s="19"/>
      <c r="J86" s="19"/>
      <c r="K86" s="233"/>
    </row>
    <row r="87" spans="1:11"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F87" s="124"/>
      <c r="G87" s="19"/>
      <c r="H87" s="19"/>
      <c r="I87" s="19"/>
      <c r="J87" s="19"/>
      <c r="K87" s="233"/>
    </row>
    <row r="88" spans="1:11"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F88" s="124"/>
      <c r="G88" s="19"/>
      <c r="H88" s="19"/>
      <c r="I88" s="19"/>
      <c r="J88" s="19"/>
      <c r="K88" s="233"/>
    </row>
    <row r="89" spans="1:11"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F89" s="124"/>
      <c r="G89" s="19"/>
      <c r="H89" s="19"/>
      <c r="I89" s="19"/>
      <c r="J89" s="19"/>
      <c r="K89" s="233"/>
    </row>
    <row r="90" spans="1:11"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ref="D90:D91">IF(AND(B90&lt;&gt;"",C90&lt;&gt;""),"N/T","")</f>
        <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268</v>
      </c>
      <c r="B94" s="24" t="s">
        <v>90</v>
      </c>
      <c r="C94" s="25" t="s">
        <v>263</v>
      </c>
      <c r="D94" s="26" t="s">
        <v>32</v>
      </c>
      <c r="E94" s="123"/>
      <c r="K94" s="233"/>
    </row>
    <row r="95" spans="1:11"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row>
    <row r="96" spans="1:11"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row>
    <row r="97" spans="1:11"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row>
    <row r="98" spans="1:11"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row>
    <row r="99" spans="1:11"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row>
    <row r="100" spans="1:11"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row>
    <row r="101" spans="1:11"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row>
    <row r="102" spans="1:11"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row>
    <row r="103" spans="1:11"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row>
    <row r="104" spans="1:11"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row>
    <row r="105" spans="1:11"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row>
    <row r="106" spans="1:11"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row>
    <row r="107" spans="1:11"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row>
    <row r="108" spans="1:11"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row>
    <row r="109" spans="1:11"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row>
    <row r="110" spans="1:11"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row>
    <row r="111" spans="1:11"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row>
    <row r="112" spans="1:11"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row>
    <row r="113" spans="1:11"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row>
    <row r="114" spans="1:11"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row>
    <row r="115" spans="1:11"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row>
    <row r="116" spans="1:11"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row>
    <row r="117" spans="1:11"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row>
    <row r="118" spans="1:11"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row>
    <row r="119" spans="1:11"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row>
    <row r="120" spans="1:11"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row>
    <row r="121" spans="1:11"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row>
    <row r="122" spans="1:11"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row>
    <row r="123" spans="1:11"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row>
    <row r="124" spans="1:11"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row>
    <row r="125" spans="1:11"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row>
    <row r="126" spans="1:11"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row>
    <row r="127" spans="1:11"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row>
    <row r="128" spans="1:11"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ref="D128:D129">IF(AND(B128&lt;&gt;"",C128&lt;&gt;""),"N/T","")</f>
        <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268</v>
      </c>
      <c r="B132" s="24" t="s">
        <v>90</v>
      </c>
      <c r="C132" s="25" t="s">
        <v>264</v>
      </c>
      <c r="D132" s="26" t="s">
        <v>32</v>
      </c>
      <c r="E132" s="123"/>
      <c r="K132" s="233"/>
    </row>
    <row r="133" spans="1:11"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row>
    <row r="134" spans="1:11"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row>
    <row r="135" spans="1:11"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row>
    <row r="136" spans="1:11"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row>
    <row r="137" spans="1:11"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row>
    <row r="138" spans="1:11"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row>
    <row r="139" spans="1:11"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row>
    <row r="140" spans="1:11"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row>
    <row r="141" spans="1:11"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row>
    <row r="142" spans="1:11"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row>
    <row r="143" spans="1:11"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row>
    <row r="144" spans="1:11"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row>
    <row r="145" spans="1:11"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row>
    <row r="146" spans="1:11"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row>
    <row r="147" spans="1:11"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row>
    <row r="148" spans="1:11"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row>
    <row r="149" spans="1:11"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row>
    <row r="150" spans="1:11"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row>
    <row r="151" spans="1:11"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row>
    <row r="152" spans="1:11"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row>
    <row r="153" spans="1:11"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row>
    <row r="154" spans="1:11"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row>
    <row r="155" spans="1:11"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row>
    <row r="156" spans="1:11"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row>
    <row r="157" spans="1:11"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row>
    <row r="158" spans="1:11"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row>
    <row r="159" spans="1:11"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row>
    <row r="160" spans="1:11"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row>
    <row r="161" spans="1:11"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row>
    <row r="162" spans="1:11"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row>
    <row r="163" spans="1:11"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row>
    <row r="164" spans="1:11"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row>
    <row r="165" spans="1:11"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row>
    <row r="166" spans="1:11"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ref="D166:D167">IF(AND(B166&lt;&gt;"",C166&lt;&gt;""),"N/T","")</f>
        <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268</v>
      </c>
      <c r="B170" s="24" t="s">
        <v>90</v>
      </c>
      <c r="C170" s="25" t="s">
        <v>265</v>
      </c>
      <c r="D170" s="26" t="s">
        <v>32</v>
      </c>
      <c r="E170" s="123"/>
      <c r="K170" s="233"/>
    </row>
    <row r="171" spans="1:11"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row>
    <row r="172" spans="1:11"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row>
    <row r="173" spans="1:11"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K173" s="233"/>
    </row>
    <row r="174" spans="1:11"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row>
    <row r="175" spans="1:11"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row>
    <row r="176" spans="1:11"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row>
    <row r="177" spans="1:11"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row>
    <row r="178" spans="1:11"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row>
    <row r="179" spans="1:11"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row>
    <row r="180" spans="1:11"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row>
    <row r="181" spans="1:11"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row>
    <row r="182" spans="1:11"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row>
    <row r="183" spans="1:11"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row>
    <row r="184" spans="1:11"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row>
    <row r="185" spans="1:11"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row>
    <row r="186" spans="1:11"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row>
    <row r="187" spans="1:11"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row>
    <row r="188" spans="1:11"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row>
    <row r="189" spans="1:11"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row>
    <row r="190" spans="1:11"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row>
    <row r="191" spans="1:11"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row>
    <row r="192" spans="1:11"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row>
    <row r="193" spans="1:11"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row>
    <row r="194" spans="1:11"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row>
    <row r="195" spans="1:11"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row>
    <row r="196" spans="1:11"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row>
    <row r="197" spans="1:11"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row>
    <row r="198" spans="1:11"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row>
    <row r="199" spans="1:11"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row>
    <row r="200" spans="1:11"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row>
    <row r="201" spans="1:11"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row>
    <row r="202" spans="1:11"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row>
    <row r="203" spans="1:11"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row>
    <row r="204" spans="1:11"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ref="D204:D205">IF(AND(B204&lt;&gt;"",C204&lt;&gt;""),"N/T","")</f>
        <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268</v>
      </c>
      <c r="B208" s="24" t="s">
        <v>90</v>
      </c>
      <c r="C208" s="25" t="s">
        <v>266</v>
      </c>
      <c r="D208" s="26" t="s">
        <v>32</v>
      </c>
      <c r="E208" s="123"/>
      <c r="K208" s="233"/>
    </row>
    <row r="209" spans="1:11"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33</v>
      </c>
      <c r="E209" s="107" t="str">
        <f t="shared" ref="E209:E243" si="10">IF(D209&lt;&gt;"",IF(AND(B209&lt;&gt;"",C209&lt;&gt;""),"","ERR"),"")</f>
        <v/>
      </c>
      <c r="F209" s="115" t="s">
        <v>33</v>
      </c>
      <c r="G209" s="116" t="s">
        <v>37</v>
      </c>
      <c r="H209" s="117" t="s">
        <v>35</v>
      </c>
      <c r="I209" s="118" t="s">
        <v>28</v>
      </c>
      <c r="J209" s="119" t="s">
        <v>26</v>
      </c>
      <c r="K209" s="226" t="s">
        <v>474</v>
      </c>
    </row>
    <row r="210" spans="1:11"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33</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row>
    <row r="211" spans="1:11"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33</v>
      </c>
      <c r="E211" s="107" t="str">
        <f t="shared" si="10"/>
        <v/>
      </c>
      <c r="G211" s="19"/>
      <c r="H211" s="19"/>
      <c r="I211" s="19"/>
      <c r="J211" s="19"/>
      <c r="K211" s="233"/>
    </row>
    <row r="212" spans="1:11"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33</v>
      </c>
      <c r="E212" s="107" t="str">
        <f t="shared" si="10"/>
        <v/>
      </c>
      <c r="G212" s="19"/>
      <c r="H212" s="19"/>
      <c r="I212" s="19"/>
      <c r="J212" s="19"/>
      <c r="K212" s="233"/>
    </row>
    <row r="213" spans="1:11"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33</v>
      </c>
      <c r="E213" s="107" t="str">
        <f t="shared" si="10"/>
        <v/>
      </c>
      <c r="G213" s="19"/>
      <c r="H213" s="19"/>
      <c r="I213" s="19"/>
      <c r="J213" s="19"/>
      <c r="K213" s="233"/>
    </row>
    <row r="214" spans="1:11"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33</v>
      </c>
      <c r="E214" s="107" t="str">
        <f t="shared" si="10"/>
        <v/>
      </c>
      <c r="G214" s="19"/>
      <c r="H214" s="19"/>
      <c r="I214" s="19"/>
      <c r="J214" s="19"/>
      <c r="K214" s="233"/>
    </row>
    <row r="215" spans="1:11"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33</v>
      </c>
      <c r="E215" s="107" t="str">
        <f t="shared" si="10"/>
        <v/>
      </c>
      <c r="F215" s="19"/>
      <c r="G215" s="19"/>
      <c r="H215" s="19"/>
      <c r="I215" s="19"/>
      <c r="J215" s="19"/>
      <c r="K215" s="233"/>
    </row>
    <row r="216" spans="1:11"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33</v>
      </c>
      <c r="E216" s="107" t="str">
        <f t="shared" si="10"/>
        <v/>
      </c>
      <c r="F216" s="19"/>
      <c r="G216" s="19"/>
      <c r="H216" s="19"/>
      <c r="I216" s="19"/>
      <c r="J216" s="19"/>
      <c r="K216" s="233"/>
    </row>
    <row r="217" spans="1:11"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33</v>
      </c>
      <c r="E217" s="107" t="str">
        <f t="shared" si="10"/>
        <v/>
      </c>
      <c r="F217" s="19"/>
      <c r="G217" s="19"/>
      <c r="H217" s="19"/>
      <c r="I217" s="19"/>
      <c r="J217" s="19"/>
      <c r="K217" s="233"/>
    </row>
    <row r="218" spans="1:11"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33</v>
      </c>
      <c r="E218" s="107" t="str">
        <f t="shared" si="10"/>
        <v/>
      </c>
      <c r="F218" s="19"/>
      <c r="G218" s="19"/>
      <c r="H218" s="19"/>
      <c r="I218" s="19"/>
      <c r="J218" s="19"/>
      <c r="K218" s="233"/>
    </row>
    <row r="219" spans="1:11"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33</v>
      </c>
      <c r="E219" s="107" t="str">
        <f t="shared" si="10"/>
        <v/>
      </c>
      <c r="F219" s="19"/>
      <c r="G219" s="19"/>
      <c r="H219" s="19"/>
      <c r="I219" s="19"/>
      <c r="J219" s="19"/>
      <c r="K219" s="233"/>
    </row>
    <row r="220" spans="1:11"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33</v>
      </c>
      <c r="E220" s="107" t="str">
        <f t="shared" si="10"/>
        <v/>
      </c>
      <c r="F220" s="19"/>
      <c r="G220" s="19"/>
      <c r="H220" s="19"/>
      <c r="I220" s="19"/>
      <c r="J220" s="19"/>
      <c r="K220" s="233"/>
    </row>
    <row r="221" spans="1:11"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33</v>
      </c>
      <c r="E221" s="107" t="str">
        <f t="shared" si="10"/>
        <v/>
      </c>
      <c r="F221" s="19"/>
      <c r="G221" s="19"/>
      <c r="H221" s="19"/>
      <c r="I221" s="19"/>
      <c r="J221" s="19"/>
      <c r="K221" s="233"/>
    </row>
    <row r="222" spans="1:11"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33</v>
      </c>
      <c r="E222" s="107" t="str">
        <f t="shared" si="10"/>
        <v/>
      </c>
      <c r="F222" s="19"/>
      <c r="G222" s="19"/>
      <c r="H222" s="19"/>
      <c r="I222" s="19"/>
      <c r="J222" s="19"/>
      <c r="K222" s="233"/>
    </row>
    <row r="223" spans="1:11"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33</v>
      </c>
      <c r="E223" s="107" t="str">
        <f t="shared" si="10"/>
        <v/>
      </c>
      <c r="F223" s="19"/>
      <c r="G223" s="19"/>
      <c r="H223" s="19"/>
      <c r="I223" s="19"/>
      <c r="J223" s="19"/>
      <c r="K223" s="233"/>
    </row>
    <row r="224" spans="1:11"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33</v>
      </c>
      <c r="E224" s="107" t="str">
        <f t="shared" si="10"/>
        <v/>
      </c>
      <c r="F224" s="19"/>
      <c r="G224" s="19"/>
      <c r="H224" s="19"/>
      <c r="I224" s="19"/>
      <c r="J224" s="19"/>
      <c r="K224" s="233"/>
    </row>
    <row r="225" spans="1:11"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33</v>
      </c>
      <c r="E225" s="107" t="str">
        <f t="shared" si="10"/>
        <v/>
      </c>
      <c r="F225" s="19"/>
      <c r="G225" s="19"/>
      <c r="H225" s="19"/>
      <c r="I225" s="19"/>
      <c r="J225" s="19"/>
      <c r="K225" s="233"/>
    </row>
    <row r="226" spans="1:11"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33</v>
      </c>
      <c r="E226" s="107" t="str">
        <f t="shared" si="10"/>
        <v/>
      </c>
      <c r="F226" s="19"/>
      <c r="G226" s="19"/>
      <c r="H226" s="19"/>
      <c r="I226" s="19"/>
      <c r="J226" s="19"/>
      <c r="K226" s="233"/>
    </row>
    <row r="227" spans="1:11"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33</v>
      </c>
      <c r="E227" s="107" t="str">
        <f t="shared" si="10"/>
        <v/>
      </c>
      <c r="F227" s="19"/>
      <c r="G227" s="19"/>
      <c r="H227" s="19"/>
      <c r="I227" s="19"/>
      <c r="J227" s="19"/>
      <c r="K227" s="233"/>
    </row>
    <row r="228" spans="1:11"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33</v>
      </c>
      <c r="E228" s="107" t="str">
        <f t="shared" si="10"/>
        <v/>
      </c>
      <c r="F228" s="19"/>
      <c r="G228" s="19"/>
      <c r="H228" s="19"/>
      <c r="I228" s="19"/>
      <c r="J228" s="19"/>
      <c r="K228" s="233"/>
    </row>
    <row r="229" spans="1:11"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33</v>
      </c>
      <c r="E229" s="107" t="str">
        <f t="shared" si="10"/>
        <v/>
      </c>
      <c r="F229" s="19"/>
      <c r="G229" s="19"/>
      <c r="H229" s="19"/>
      <c r="I229" s="19"/>
      <c r="J229" s="19"/>
      <c r="K229" s="233"/>
    </row>
    <row r="230" spans="1:11"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33</v>
      </c>
      <c r="E230" s="107" t="str">
        <f t="shared" si="10"/>
        <v/>
      </c>
      <c r="F230" s="19"/>
      <c r="G230" s="19"/>
      <c r="H230" s="19"/>
      <c r="I230" s="19"/>
      <c r="J230" s="19"/>
      <c r="K230" s="233"/>
    </row>
    <row r="231" spans="1:11"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33</v>
      </c>
      <c r="E231" s="107" t="str">
        <f t="shared" si="10"/>
        <v/>
      </c>
      <c r="F231" s="19"/>
      <c r="G231" s="19"/>
      <c r="H231" s="19"/>
      <c r="I231" s="19"/>
      <c r="J231" s="19"/>
      <c r="K231" s="233"/>
    </row>
    <row r="232" spans="1:11"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33</v>
      </c>
      <c r="E232" s="107" t="str">
        <f t="shared" si="10"/>
        <v/>
      </c>
      <c r="F232" s="19"/>
      <c r="G232" s="19"/>
      <c r="H232" s="19"/>
      <c r="I232" s="19"/>
      <c r="J232" s="19"/>
      <c r="K232" s="233"/>
    </row>
    <row r="233" spans="1:11"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33</v>
      </c>
      <c r="E233" s="107" t="str">
        <f t="shared" si="10"/>
        <v/>
      </c>
      <c r="F233" s="19"/>
      <c r="G233" s="19"/>
      <c r="H233" s="19"/>
      <c r="I233" s="19"/>
      <c r="J233" s="19"/>
      <c r="K233" s="233"/>
    </row>
    <row r="234" spans="1:11"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33</v>
      </c>
      <c r="E234" s="107" t="str">
        <f t="shared" si="10"/>
        <v/>
      </c>
      <c r="F234" s="19"/>
      <c r="G234" s="19"/>
      <c r="H234" s="19"/>
      <c r="I234" s="19"/>
      <c r="J234" s="19"/>
      <c r="K234" s="233"/>
    </row>
    <row r="235" spans="1:11"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33</v>
      </c>
      <c r="E235" s="107" t="str">
        <f t="shared" si="10"/>
        <v/>
      </c>
      <c r="F235" s="19"/>
      <c r="G235" s="19"/>
      <c r="H235" s="19"/>
      <c r="I235" s="19"/>
      <c r="J235" s="19"/>
      <c r="K235" s="233"/>
    </row>
    <row r="236" spans="1:11"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33</v>
      </c>
      <c r="E236" s="107" t="str">
        <f t="shared" si="10"/>
        <v/>
      </c>
      <c r="G236" s="19"/>
      <c r="H236" s="19"/>
      <c r="I236" s="19"/>
      <c r="J236" s="19"/>
      <c r="K236" s="233"/>
    </row>
    <row r="237" spans="1:11"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33</v>
      </c>
      <c r="E237" s="107" t="str">
        <f t="shared" si="10"/>
        <v/>
      </c>
      <c r="F237" s="124"/>
      <c r="G237" s="19"/>
      <c r="H237" s="19"/>
      <c r="I237" s="19"/>
      <c r="J237" s="19"/>
      <c r="K237" s="233"/>
    </row>
    <row r="238" spans="1:11"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33</v>
      </c>
      <c r="E238" s="107" t="str">
        <f t="shared" si="10"/>
        <v/>
      </c>
      <c r="F238" s="124"/>
      <c r="G238" s="19"/>
      <c r="H238" s="19"/>
      <c r="I238" s="19"/>
      <c r="J238" s="19"/>
      <c r="K238" s="233"/>
    </row>
    <row r="239" spans="1:11"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33</v>
      </c>
      <c r="E239" s="107" t="str">
        <f t="shared" si="10"/>
        <v/>
      </c>
      <c r="F239" s="124"/>
      <c r="G239" s="19"/>
      <c r="H239" s="19"/>
      <c r="I239" s="19"/>
      <c r="J239" s="19"/>
      <c r="K239" s="233"/>
    </row>
    <row r="240" spans="1:11"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33</v>
      </c>
      <c r="E240" s="107" t="str">
        <f t="shared" si="10"/>
        <v/>
      </c>
      <c r="F240" s="124"/>
      <c r="G240" s="19"/>
      <c r="H240" s="19"/>
      <c r="I240" s="19"/>
      <c r="J240" s="19"/>
      <c r="K240" s="233"/>
    </row>
    <row r="241" spans="1:11"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33</v>
      </c>
      <c r="E241" s="107" t="str">
        <f t="shared" si="10"/>
        <v/>
      </c>
      <c r="F241" s="124"/>
      <c r="G241" s="19"/>
      <c r="H241" s="19"/>
      <c r="I241" s="19"/>
      <c r="J241" s="19"/>
      <c r="K241" s="233"/>
    </row>
    <row r="242" spans="1:11"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ref="D242:D243">IF(AND(B242&lt;&gt;"",C242&lt;&gt;""),"N/T","")</f>
        <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19"/>
    </row>
    <row r="244" spans="1:11" ht="15">
      <c r="B244" s="19"/>
      <c r="C244" s="19"/>
      <c r="D244" s="107"/>
      <c r="E244" s="107"/>
      <c r="F244" s="19"/>
      <c r="G244" s="19"/>
      <c r="H244" s="19"/>
      <c r="I244" s="19"/>
      <c r="J244" s="19"/>
      <c r="K244" s="19"/>
    </row>
  </sheetData>
  <sheetCalcPr fullCalcOnLoad="true"/>
  <sheetProtection password="DC4E" sheet="true" scenarios="true" objects="true"/>
  <mergeCells count="3">
    <mergeCell ref="B11:C11"/>
    <mergeCell ref="B8:M8"/>
    <mergeCell ref="B9:M9"/>
  </mergeCells>
  <conditionalFormatting sqref="E19:E53 E57:E91 E95:E129 E133:E167 E171:E205 E209:E243">
    <cfRule type="cellIs" dxfId="229" priority="1232" stopIfTrue="1" operator="equal">
      <formula>"ERR"</formula>
    </cfRule>
  </conditionalFormatting>
  <conditionalFormatting sqref="D19:D53 D57:D91 D95:D129 D133:D167 D171:D205 D209:D243 F19:J19 F57:J57 F95:J95 F133:J133 F171:J171 F209:J209">
    <cfRule type="expression" dxfId="228" priority="1226" stopIfTrue="1">
      <formula>ISBLANK(D19)</formula>
    </cfRule>
    <cfRule type="cellIs" dxfId="227" priority="1227" stopIfTrue="1" operator="equal">
      <formula>"Pasa"</formula>
    </cfRule>
    <cfRule type="cellIs" dxfId="226" priority="1228" stopIfTrue="1" operator="equal">
      <formula>"Falla"</formula>
    </cfRule>
    <cfRule type="cellIs" dxfId="225" priority="1229" stopIfTrue="1" operator="equal">
      <formula>"N/A"</formula>
    </cfRule>
    <cfRule type="cellIs" dxfId="224" priority="1230" stopIfTrue="1" operator="equal">
      <formula>"N/T"</formula>
    </cfRule>
    <cfRule type="cellIs" dxfId="223" priority="1231" stopIfTrue="1" operator="equal">
      <formula>"N/D"</formula>
    </cfRule>
  </conditionalFormatting>
  <conditionalFormatting sqref="D1:D7 D11:D1048576">
    <cfRule type="cellIs" dxfId="222" priority="979" stopIfTrue="1" operator="equal">
      <formula>"-"</formula>
    </cfRule>
  </conditionalFormatting>
  <conditionalFormatting sqref="D19:D53">
    <cfRule type="expression" dxfId="221" priority="469" stopIfTrue="1">
      <formula>ISBLANK(D19)</formula>
    </cfRule>
    <cfRule type="cellIs" dxfId="220" priority="470" stopIfTrue="1" operator="equal">
      <formula>"Pasa"</formula>
    </cfRule>
    <cfRule type="cellIs" dxfId="219" priority="471" stopIfTrue="1" operator="equal">
      <formula>"Falla"</formula>
    </cfRule>
    <cfRule type="cellIs" dxfId="218" priority="472" stopIfTrue="1" operator="equal">
      <formula>"N/A"</formula>
    </cfRule>
    <cfRule type="cellIs" dxfId="217" priority="473" stopIfTrue="1" operator="equal">
      <formula>"N/T"</formula>
    </cfRule>
    <cfRule type="cellIs" dxfId="216" priority="474" stopIfTrue="1" operator="equal">
      <formula>"N/D"</formula>
    </cfRule>
  </conditionalFormatting>
  <conditionalFormatting sqref="D19:D53">
    <cfRule type="expression" dxfId="215" priority="463" stopIfTrue="1">
      <formula>ISBLANK(D19)</formula>
    </cfRule>
    <cfRule type="cellIs" dxfId="214" priority="464" stopIfTrue="1" operator="equal">
      <formula>"Pasa"</formula>
    </cfRule>
    <cfRule type="cellIs" dxfId="213" priority="465" stopIfTrue="1" operator="equal">
      <formula>"Falla"</formula>
    </cfRule>
    <cfRule type="cellIs" dxfId="212" priority="466" stopIfTrue="1" operator="equal">
      <formula>"N/A"</formula>
    </cfRule>
    <cfRule type="cellIs" dxfId="211" priority="467" stopIfTrue="1" operator="equal">
      <formula>"N/T"</formula>
    </cfRule>
    <cfRule type="cellIs" dxfId="210" priority="468" stopIfTrue="1" operator="equal">
      <formula>"N/D"</formula>
    </cfRule>
  </conditionalFormatting>
  <conditionalFormatting sqref="D57:D91">
    <cfRule type="expression" dxfId="209" priority="457" stopIfTrue="1">
      <formula>ISBLANK(D57)</formula>
    </cfRule>
    <cfRule type="cellIs" dxfId="208" priority="458" stopIfTrue="1" operator="equal">
      <formula>"Pasa"</formula>
    </cfRule>
    <cfRule type="cellIs" dxfId="207" priority="459" stopIfTrue="1" operator="equal">
      <formula>"Falla"</formula>
    </cfRule>
    <cfRule type="cellIs" dxfId="206" priority="460" stopIfTrue="1" operator="equal">
      <formula>"N/A"</formula>
    </cfRule>
    <cfRule type="cellIs" dxfId="205" priority="461" stopIfTrue="1" operator="equal">
      <formula>"N/T"</formula>
    </cfRule>
    <cfRule type="cellIs" dxfId="204" priority="462" stopIfTrue="1" operator="equal">
      <formula>"N/D"</formula>
    </cfRule>
  </conditionalFormatting>
  <conditionalFormatting sqref="D57:D91">
    <cfRule type="expression" dxfId="203" priority="451" stopIfTrue="1">
      <formula>ISBLANK(D57)</formula>
    </cfRule>
    <cfRule type="cellIs" dxfId="202" priority="452" stopIfTrue="1" operator="equal">
      <formula>"Pasa"</formula>
    </cfRule>
    <cfRule type="cellIs" dxfId="201" priority="453" stopIfTrue="1" operator="equal">
      <formula>"Falla"</formula>
    </cfRule>
    <cfRule type="cellIs" dxfId="200" priority="454" stopIfTrue="1" operator="equal">
      <formula>"N/A"</formula>
    </cfRule>
    <cfRule type="cellIs" dxfId="199" priority="455" stopIfTrue="1" operator="equal">
      <formula>"N/T"</formula>
    </cfRule>
    <cfRule type="cellIs" dxfId="198" priority="456" stopIfTrue="1" operator="equal">
      <formula>"N/D"</formula>
    </cfRule>
  </conditionalFormatting>
  <conditionalFormatting sqref="D95:D129">
    <cfRule type="expression" dxfId="197" priority="445" stopIfTrue="1">
      <formula>ISBLANK(D95)</formula>
    </cfRule>
    <cfRule type="cellIs" dxfId="196" priority="446" stopIfTrue="1" operator="equal">
      <formula>"Pasa"</formula>
    </cfRule>
    <cfRule type="cellIs" dxfId="195" priority="447" stopIfTrue="1" operator="equal">
      <formula>"Falla"</formula>
    </cfRule>
    <cfRule type="cellIs" dxfId="194" priority="448" stopIfTrue="1" operator="equal">
      <formula>"N/A"</formula>
    </cfRule>
    <cfRule type="cellIs" dxfId="193" priority="449" stopIfTrue="1" operator="equal">
      <formula>"N/T"</formula>
    </cfRule>
    <cfRule type="cellIs" dxfId="192" priority="450" stopIfTrue="1" operator="equal">
      <formula>"N/D"</formula>
    </cfRule>
  </conditionalFormatting>
  <conditionalFormatting sqref="D95:D129">
    <cfRule type="expression" dxfId="191" priority="439" stopIfTrue="1">
      <formula>ISBLANK(D95)</formula>
    </cfRule>
    <cfRule type="cellIs" dxfId="190" priority="440" stopIfTrue="1" operator="equal">
      <formula>"Pasa"</formula>
    </cfRule>
    <cfRule type="cellIs" dxfId="189" priority="441" stopIfTrue="1" operator="equal">
      <formula>"Falla"</formula>
    </cfRule>
    <cfRule type="cellIs" dxfId="188" priority="442" stopIfTrue="1" operator="equal">
      <formula>"N/A"</formula>
    </cfRule>
    <cfRule type="cellIs" dxfId="187" priority="443" stopIfTrue="1" operator="equal">
      <formula>"N/T"</formula>
    </cfRule>
    <cfRule type="cellIs" dxfId="186" priority="444" stopIfTrue="1" operator="equal">
      <formula>"N/D"</formula>
    </cfRule>
  </conditionalFormatting>
  <conditionalFormatting sqref="D133:D167">
    <cfRule type="expression" dxfId="185" priority="433" stopIfTrue="1">
      <formula>ISBLANK(D133)</formula>
    </cfRule>
    <cfRule type="cellIs" dxfId="184" priority="434" stopIfTrue="1" operator="equal">
      <formula>"Pasa"</formula>
    </cfRule>
    <cfRule type="cellIs" dxfId="183" priority="435" stopIfTrue="1" operator="equal">
      <formula>"Falla"</formula>
    </cfRule>
    <cfRule type="cellIs" dxfId="182" priority="436" stopIfTrue="1" operator="equal">
      <formula>"N/A"</formula>
    </cfRule>
    <cfRule type="cellIs" dxfId="181" priority="437" stopIfTrue="1" operator="equal">
      <formula>"N/T"</formula>
    </cfRule>
    <cfRule type="cellIs" dxfId="180" priority="438" stopIfTrue="1" operator="equal">
      <formula>"N/D"</formula>
    </cfRule>
  </conditionalFormatting>
  <conditionalFormatting sqref="D133:D167">
    <cfRule type="expression" dxfId="179" priority="427" stopIfTrue="1">
      <formula>ISBLANK(D133)</formula>
    </cfRule>
    <cfRule type="cellIs" dxfId="178" priority="428" stopIfTrue="1" operator="equal">
      <formula>"Pasa"</formula>
    </cfRule>
    <cfRule type="cellIs" dxfId="177" priority="429" stopIfTrue="1" operator="equal">
      <formula>"Falla"</formula>
    </cfRule>
    <cfRule type="cellIs" dxfId="176" priority="430" stopIfTrue="1" operator="equal">
      <formula>"N/A"</formula>
    </cfRule>
    <cfRule type="cellIs" dxfId="175" priority="431" stopIfTrue="1" operator="equal">
      <formula>"N/T"</formula>
    </cfRule>
    <cfRule type="cellIs" dxfId="174" priority="432" stopIfTrue="1" operator="equal">
      <formula>"N/D"</formula>
    </cfRule>
  </conditionalFormatting>
  <conditionalFormatting sqref="D171:D205">
    <cfRule type="expression" dxfId="173" priority="421" stopIfTrue="1">
      <formula>ISBLANK(D171)</formula>
    </cfRule>
    <cfRule type="cellIs" dxfId="172" priority="422" stopIfTrue="1" operator="equal">
      <formula>"Pasa"</formula>
    </cfRule>
    <cfRule type="cellIs" dxfId="171" priority="423" stopIfTrue="1" operator="equal">
      <formula>"Falla"</formula>
    </cfRule>
    <cfRule type="cellIs" dxfId="170" priority="424" stopIfTrue="1" operator="equal">
      <formula>"N/A"</formula>
    </cfRule>
    <cfRule type="cellIs" dxfId="169" priority="425" stopIfTrue="1" operator="equal">
      <formula>"N/T"</formula>
    </cfRule>
    <cfRule type="cellIs" dxfId="168" priority="426" stopIfTrue="1" operator="equal">
      <formula>"N/D"</formula>
    </cfRule>
  </conditionalFormatting>
  <conditionalFormatting sqref="D171:D205">
    <cfRule type="expression" dxfId="167" priority="415" stopIfTrue="1">
      <formula>ISBLANK(D171)</formula>
    </cfRule>
    <cfRule type="cellIs" dxfId="166" priority="416" stopIfTrue="1" operator="equal">
      <formula>"Pasa"</formula>
    </cfRule>
    <cfRule type="cellIs" dxfId="165" priority="417" stopIfTrue="1" operator="equal">
      <formula>"Falla"</formula>
    </cfRule>
    <cfRule type="cellIs" dxfId="164" priority="418" stopIfTrue="1" operator="equal">
      <formula>"N/A"</formula>
    </cfRule>
    <cfRule type="cellIs" dxfId="163" priority="419" stopIfTrue="1" operator="equal">
      <formula>"N/T"</formula>
    </cfRule>
    <cfRule type="cellIs" dxfId="162" priority="420" stopIfTrue="1" operator="equal">
      <formula>"N/D"</formula>
    </cfRule>
  </conditionalFormatting>
  <conditionalFormatting sqref="D209:D243">
    <cfRule type="expression" dxfId="161" priority="409" stopIfTrue="1">
      <formula>ISBLANK(D209)</formula>
    </cfRule>
    <cfRule type="cellIs" dxfId="160" priority="410" stopIfTrue="1" operator="equal">
      <formula>"Pasa"</formula>
    </cfRule>
    <cfRule type="cellIs" dxfId="159" priority="411" stopIfTrue="1" operator="equal">
      <formula>"Falla"</formula>
    </cfRule>
    <cfRule type="cellIs" dxfId="158" priority="412" stopIfTrue="1" operator="equal">
      <formula>"N/A"</formula>
    </cfRule>
    <cfRule type="cellIs" dxfId="157" priority="413" stopIfTrue="1" operator="equal">
      <formula>"N/T"</formula>
    </cfRule>
    <cfRule type="cellIs" dxfId="156" priority="414" stopIfTrue="1" operator="equal">
      <formula>"N/D"</formula>
    </cfRule>
  </conditionalFormatting>
  <conditionalFormatting sqref="D209:D243">
    <cfRule type="expression" dxfId="155" priority="403" stopIfTrue="1">
      <formula>ISBLANK(D209)</formula>
    </cfRule>
    <cfRule type="cellIs" dxfId="154" priority="404" stopIfTrue="1" operator="equal">
      <formula>"Pasa"</formula>
    </cfRule>
    <cfRule type="cellIs" dxfId="153" priority="405" stopIfTrue="1" operator="equal">
      <formula>"Falla"</formula>
    </cfRule>
    <cfRule type="cellIs" dxfId="152" priority="406" stopIfTrue="1" operator="equal">
      <formula>"N/A"</formula>
    </cfRule>
    <cfRule type="cellIs" dxfId="151" priority="407" stopIfTrue="1" operator="equal">
      <formula>"N/T"</formula>
    </cfRule>
    <cfRule type="cellIs" dxfId="150" priority="408" stopIfTrue="1" operator="equal">
      <formula>"N/D"</formula>
    </cfRule>
  </conditionalFormatting>
  <conditionalFormatting sqref="K23">
    <cfRule type="expression" dxfId="149" priority="7" stopIfTrue="1">
      <formula>ISBLANK(K23)</formula>
    </cfRule>
    <cfRule type="cellIs" dxfId="148" priority="8" stopIfTrue="1" operator="equal">
      <formula>"Pasa"</formula>
    </cfRule>
    <cfRule type="cellIs" dxfId="147" priority="9" stopIfTrue="1" operator="equal">
      <formula>"Falla"</formula>
    </cfRule>
    <cfRule type="cellIs" dxfId="146" priority="10" stopIfTrue="1" operator="equal">
      <formula>"N/A"</formula>
    </cfRule>
    <cfRule type="cellIs" dxfId="145" priority="11" stopIfTrue="1" operator="equal">
      <formula>"N/T"</formula>
    </cfRule>
    <cfRule type="cellIs" dxfId="144" priority="12" stopIfTrue="1" operator="equal">
      <formula>"N/D"</formula>
    </cfRule>
  </conditionalFormatting>
  <conditionalFormatting sqref="K24">
    <cfRule type="expression" dxfId="143" priority="1" stopIfTrue="1">
      <formula>ISBLANK(K24)</formula>
    </cfRule>
    <cfRule type="cellIs" dxfId="142" priority="2" stopIfTrue="1" operator="equal">
      <formula>"Pasa"</formula>
    </cfRule>
    <cfRule type="cellIs" dxfId="141" priority="3" stopIfTrue="1" operator="equal">
      <formula>"Falla"</formula>
    </cfRule>
    <cfRule type="cellIs" dxfId="140" priority="4" stopIfTrue="1" operator="equal">
      <formula>"N/A"</formula>
    </cfRule>
    <cfRule type="cellIs" dxfId="139" priority="5" stopIfTrue="1" operator="equal">
      <formula>"N/T"</formula>
    </cfRule>
    <cfRule type="cellIs" dxfId="1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L652"/>
  <sheetViews>
    <sheetView topLeftCell="A13" zoomScale="65" zoomScaleNormal="65" workbookViewId="0"/>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42578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95" customHeight="1">
      <c r="B8" s="111" t="s">
        <v>97</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COUNTIF($B$18:$B$4000,B12)</f>
        <v>5.0</v>
      </c>
      <c r="D12" s="28"/>
      <c r="E12" s="14"/>
      <c r="F12" s="62" t="s">
        <v>26</v>
      </c>
      <c r="G12" s="61" t="n">
        <f ca="1">J20+J58+J96+J134+J172</f>
        <v>0.0</v>
      </c>
      <c r="H12" s="53" t="n">
        <f ca="1">IF(($G$15+$K$15)=0,0,G12/($G$15+$K$15))</f>
        <v>0.0</v>
      </c>
      <c r="I12" s="28"/>
      <c r="J12" s="60" t="s">
        <v>27</v>
      </c>
      <c r="K12" s="61" t="n">
        <f ca="1">G20+G58+G96+G134+G172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f>
        <v>0.0</v>
      </c>
      <c r="H13" s="53" t="n">
        <f ca="1">IF(($G$15+$K$15)=0,0,G13/($G$15+$K$15))</f>
        <v>0.0</v>
      </c>
      <c r="I13" s="28"/>
      <c r="J13" s="60" t="s">
        <v>29</v>
      </c>
      <c r="K13" s="61" t="n">
        <f ca="1">F20+F58+F96+F134+F172</f>
        <v>165.0</v>
      </c>
      <c r="L13" s="53" t="n">
        <f ca="1">IF(($G$15+$K$15)=0,0,K13/($G$15+$K$15))</f>
        <v>1.0</v>
      </c>
      <c r="M13" s="19"/>
      <c r="N13" s="19"/>
      <c r="O13" s="19"/>
      <c r="P13" s="19"/>
      <c r="Q13" s="19"/>
      <c r="R13" s="19"/>
      <c r="U13" s="19"/>
      <c r="V13" s="19"/>
      <c r="W13" s="19"/>
      <c r="X13" s="19"/>
      <c r="Y13" s="19"/>
    </row>
    <row r="14" spans="1:64" ht="12" customHeight="1" thickBot="1">
      <c r="B14" s="58" t="s">
        <v>30</v>
      </c>
      <c r="C14" s="59" t="n">
        <f>C12+C13</f>
        <v>5.0</v>
      </c>
      <c r="D14" s="28"/>
      <c r="E14" s="14"/>
      <c r="F14" s="62" t="s">
        <v>31</v>
      </c>
      <c r="G14" s="61" t="n">
        <f ca="1">H20+H58+H96+H134+H172</f>
        <v>0.0</v>
      </c>
      <c r="H14" s="53" t="n">
        <f ca="1">IF(($G$15+$K$15)=0,0,G14/($G$15+$K$15))</f>
        <v>0.0</v>
      </c>
      <c r="I14" s="28"/>
      <c r="J14" s="231" t="s">
        <v>474</v>
      </c>
      <c r="K14" s="232" t="n">
        <f ca="1">K20+K58+K96+K134+K172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165.0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268</v>
      </c>
      <c r="B18" s="24" t="s">
        <v>90</v>
      </c>
      <c r="C18" s="25" t="s">
        <v>92</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93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ref="D90:D91">IF(AND(B90&lt;&gt;"",C90&lt;&gt;""),"N/T","")</f>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94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ref="D128:D129">IF(AND(B128&lt;&gt;"",C128&lt;&gt;""),"N/T","")</f>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95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ref="D166:D167">IF(AND(B166&lt;&gt;"",C166&lt;&gt;""),"N/T","")</f>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96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ref="D204:D205">IF(AND(B204&lt;&gt;"",C204&lt;&gt;""),"N/T","")</f>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CalcPr fullCalcOnLoad="true"/>
  <sheetProtection password="DC4E" sheet="true" scenarios="true" objects="true"/>
  <mergeCells count="2">
    <mergeCell ref="B11:C11"/>
    <mergeCell ref="B9:M9"/>
  </mergeCells>
  <conditionalFormatting sqref="E57:E91 E95:E129 E133:E167 E171:E205 E19:E53">
    <cfRule type="cellIs" dxfId="137" priority="134" stopIfTrue="1" operator="equal">
      <formula>"ERR"</formula>
    </cfRule>
  </conditionalFormatting>
  <conditionalFormatting sqref="D19:D53 D57:D91 D95:D129 D133:D167 D171:D205 F19:J19 F57:J57 F95:J95 F133:J133 F171:J171">
    <cfRule type="expression" dxfId="136" priority="128" stopIfTrue="1">
      <formula>ISBLANK(D19)</formula>
    </cfRule>
    <cfRule type="cellIs" dxfId="135" priority="129" stopIfTrue="1" operator="equal">
      <formula>"Pasa"</formula>
    </cfRule>
    <cfRule type="cellIs" dxfId="134" priority="130" stopIfTrue="1" operator="equal">
      <formula>"Falla"</formula>
    </cfRule>
    <cfRule type="cellIs" dxfId="133" priority="131" stopIfTrue="1" operator="equal">
      <formula>"N/A"</formula>
    </cfRule>
    <cfRule type="cellIs" dxfId="132" priority="132" stopIfTrue="1" operator="equal">
      <formula>"N/T"</formula>
    </cfRule>
    <cfRule type="cellIs" dxfId="131" priority="133" stopIfTrue="1" operator="equal">
      <formula>"N/D"</formula>
    </cfRule>
  </conditionalFormatting>
  <conditionalFormatting sqref="D19:D500">
    <cfRule type="cellIs" dxfId="130" priority="13" stopIfTrue="1" operator="equal">
      <formula>"-"</formula>
    </cfRule>
  </conditionalFormatting>
  <conditionalFormatting sqref="K23">
    <cfRule type="expression" dxfId="129" priority="7" stopIfTrue="1">
      <formula>ISBLANK(K23)</formula>
    </cfRule>
    <cfRule type="cellIs" dxfId="128" priority="8" stopIfTrue="1" operator="equal">
      <formula>"Pasa"</formula>
    </cfRule>
    <cfRule type="cellIs" dxfId="127" priority="9" stopIfTrue="1" operator="equal">
      <formula>"Falla"</formula>
    </cfRule>
    <cfRule type="cellIs" dxfId="126" priority="10" stopIfTrue="1" operator="equal">
      <formula>"N/A"</formula>
    </cfRule>
    <cfRule type="cellIs" dxfId="125" priority="11" stopIfTrue="1" operator="equal">
      <formula>"N/T"</formula>
    </cfRule>
    <cfRule type="cellIs" dxfId="124" priority="12" stopIfTrue="1" operator="equal">
      <formula>"N/D"</formula>
    </cfRule>
  </conditionalFormatting>
  <conditionalFormatting sqref="K24">
    <cfRule type="expression" dxfId="123" priority="1" stopIfTrue="1">
      <formula>ISBLANK(K24)</formula>
    </cfRule>
    <cfRule type="cellIs" dxfId="122" priority="2" stopIfTrue="1" operator="equal">
      <formula>"Pasa"</formula>
    </cfRule>
    <cfRule type="cellIs" dxfId="121" priority="3" stopIfTrue="1" operator="equal">
      <formula>"Falla"</formula>
    </cfRule>
    <cfRule type="cellIs" dxfId="120" priority="4" stopIfTrue="1" operator="equal">
      <formula>"N/A"</formula>
    </cfRule>
    <cfRule type="cellIs" dxfId="119" priority="5" stopIfTrue="1" operator="equal">
      <formula>"N/T"</formula>
    </cfRule>
    <cfRule type="cellIs" dxfId="11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B1:CX96"/>
  <sheetViews>
    <sheetView zoomScale="70" zoomScaleNormal="70" workbookViewId="0">
      <selection activeCell="I10" sqref="I10"/>
    </sheetView>
  </sheetViews>
  <sheetFormatPr baseColWidth="10" defaultColWidth="11.5703125" defaultRowHeight="12.75"/>
  <cols>
    <col min="1" max="1" customWidth="true" style="14" width="3.140625" collapsed="false"/>
    <col min="2" max="2" customWidth="true" style="113" width="9.140625" collapsed="false"/>
    <col min="3" max="3" customWidth="true" style="102" width="18.5703125" collapsed="false"/>
    <col min="4" max="4" customWidth="true" style="14" width="59.28515625" collapsed="false"/>
    <col min="5" max="29" customWidth="true" style="14" width="16.42578125" collapsed="false"/>
    <col min="30" max="106" customWidth="true" style="14" width="19.5703125" collapsed="false"/>
    <col min="107" max="16384" style="14" width="11.5703125" collapsed="false"/>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278</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39</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149999999999999" customHeight="1" thickBot="1">
      <c r="B6" s="178"/>
      <c r="C6" s="67"/>
      <c r="D6" s="67"/>
      <c r="E6" s="67"/>
      <c r="F6" s="67"/>
      <c r="G6" s="67"/>
      <c r="H6" s="67"/>
      <c r="I6" s="67"/>
      <c r="J6" s="67"/>
      <c r="K6" s="266" t="s">
        <v>40</v>
      </c>
      <c r="L6" s="266"/>
      <c r="M6" s="266"/>
      <c r="N6" s="67"/>
      <c r="O6" s="266" t="s">
        <v>41</v>
      </c>
      <c r="P6" s="266"/>
      <c r="Q6" s="26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15" customHeight="1">
      <c r="C7" s="267" t="s">
        <v>152</v>
      </c>
      <c r="D7" s="268"/>
      <c r="E7" s="44" t="s">
        <v>42</v>
      </c>
      <c r="F7" s="44" t="s">
        <v>43</v>
      </c>
      <c r="G7" s="44" t="s">
        <v>31</v>
      </c>
      <c r="H7" s="44" t="s">
        <v>44</v>
      </c>
      <c r="I7" s="45" t="s">
        <v>45</v>
      </c>
      <c r="J7" s="235" t="s">
        <v>477</v>
      </c>
      <c r="K7" s="50" t="s">
        <v>46</v>
      </c>
      <c r="L7" s="141" t="s">
        <v>360</v>
      </c>
      <c r="M7" s="51" t="s">
        <v>24</v>
      </c>
      <c r="O7" s="50" t="s">
        <v>46</v>
      </c>
      <c r="P7" s="141" t="s">
        <v>360</v>
      </c>
      <c r="Q7" s="51" t="s">
        <v>24</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149999999999999" customHeight="1">
      <c r="C8" s="269" t="s">
        <v>361</v>
      </c>
      <c r="D8" s="270"/>
      <c r="E8" s="46" t="str">
        <f ca="1">CONCATENATE(COUNTIF(E55:CR55,"CONFORME")," (",ROUND(COUNTIF(E55:CR55,"CONFORME")*100/COUNTA($E$19:CR$19),2)," %)")</f>
        <v>0 (0 %)</v>
      </c>
      <c r="F8" s="140" t="str">
        <f ca="1">CONCATENATE(COUNTIF(E55:CR55,"NO CONFORME")," (",ROUND(COUNTIF(E55:CR55,"NO CONFORME")*100/COUNTA($E$19:CR$19),2)," %)")</f>
        <v>0 (0 %)</v>
      </c>
      <c r="G8" s="47" t="str">
        <f ca="1">CONCATENATE(COUNTIF(E55:CR55,"N/A")," (",ROUND(COUNTIF(E55:CR55,"N/A")*100/COUNTA($E$19:CR$19),2)," %)")</f>
        <v>0 (0 %)</v>
      </c>
      <c r="H8" s="47" t="n">
        <f ca="1">COUNTIF(E55:CR55,"ERROR")</f>
        <v>0.0</v>
      </c>
      <c r="I8" s="48" t="n">
        <f ca="1">COUNTIF(E55:CR55,"EN CURSO")</f>
        <v>92.0</v>
      </c>
      <c r="J8" s="236" t="n">
        <f ca="1">SUM(VALUE(LEFT(E8,SEARCH(" ",E8)-1)),VALUE(LEFT(F8,SEARCH(" ",F8)-1)))</f>
        <v>0.0</v>
      </c>
      <c r="K8" s="52" t="s">
        <v>47</v>
      </c>
      <c r="L8" s="46" t="n">
        <f ca="1">COUNTIF( $E$20:INDIRECT("$CR$" &amp;  SUM(19,COUNTIFS(B20:B54,"&lt;&gt;"))),"Pasa")+ COUNTIF($E$61:INDIRECT("$AW$" &amp;  SUM(60,COUNTIFS(B61:B95,"&lt;&gt;"))),"Pasa")</f>
        <v>0.0</v>
      </c>
      <c r="M8" s="53" t="n">
        <f ca="1">IF(($L$11+$P$11)=0,0,L8/($L$11+$P$11))</f>
        <v>0.0</v>
      </c>
      <c r="N8" s="28"/>
      <c r="O8" s="52" t="s">
        <v>27</v>
      </c>
      <c r="P8" s="46" t="n">
        <f ca="1">COUNTIF( $E$20:INDIRECT("$CR$" &amp;  SUM(19,COUNTIFS(B20:B54,"&lt;&gt;"))),"N/D")+ COUNTIF($E$61:INDIRECT("$AW$" &amp;  SUM(60,COUNTIFS(B61:B95,"&lt;&gt;"))),"N/D")</f>
        <v>53.0</v>
      </c>
      <c r="Q8" s="53" t="n">
        <f ca="1">IF(($L$11+$P$11)=0,0,P8/($L$11+$P$11))</f>
        <v>0.19343065693430658</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149999999999999" customHeight="1">
      <c r="B9" s="240"/>
      <c r="C9" s="275" t="s">
        <v>154</v>
      </c>
      <c r="D9" s="276"/>
      <c r="E9" s="184" t="str">
        <f ca="1">CONCATENATE(COUNTIF(E96:AW96,"CONFORME")," (",ROUND(COUNTIF(E96:AW96,"CONFORME")*100/COUNTA($E$60:AW$60),2)," %)")</f>
        <v>0 (0 %)</v>
      </c>
      <c r="F9" s="184" t="str">
        <f ca="1">CONCATENATE(COUNTIF(E96:AW96,"NO CONFORME")," (",ROUND(COUNTIF(E96:AW96,"NO CONFORME")*100/COUNTA($E$60:AW$60),2)," %)")</f>
        <v>1 (2.22 %)</v>
      </c>
      <c r="G9" s="238" t="str">
        <f ca="1">CONCATENATE(COUNTIF(E96:AW96,"N/A")," (",ROUND(COUNTIF(E96:AW96,"N/A")*100/COUNTA($E$60:AW$60),2)," %)")</f>
        <v>0 (0 %)</v>
      </c>
      <c r="H9" s="238" t="n">
        <f ca="1">COUNTIF(E96:AW96,"ERROR")</f>
        <v>0.0</v>
      </c>
      <c r="I9" s="239" t="n">
        <f ca="1">COUNTIF(E96:AW96,"EN CURSO")</f>
        <v>44.0</v>
      </c>
      <c r="J9" s="236" t="n">
        <f ca="1">SUM(VALUE(LEFT(E9,SEARCH(" ",E9)-1)),VALUE(LEFT(F9,SEARCH(" ",F9)-1)))</f>
        <v>1.0</v>
      </c>
      <c r="K9" s="52" t="s">
        <v>28</v>
      </c>
      <c r="L9" s="46" t="n">
        <f ca="1">COUNTIF( $E$20:INDIRECT("$CR$" &amp;  SUM(19,COUNTIFS(B20:B54,"&lt;&gt;"))),"Falla")+ COUNTIF($E$61:INDIRECT("$AW$" &amp;  SUM(60,COUNTIFS(B61:B95,"&lt;&gt;"))),"Falla")</f>
        <v>5.0</v>
      </c>
      <c r="M9" s="53" t="n">
        <f ca="1">IF(($L$11+$P$11)=0,0,L9/($L$11+$P$11))</f>
        <v>0.01824817518248175</v>
      </c>
      <c r="N9" s="28"/>
      <c r="O9" s="52" t="s">
        <v>29</v>
      </c>
      <c r="P9" s="46" t="n">
        <f ca="1">COUNTIF( $E$20:INDIRECT("$CR$" &amp;  SUM(19,COUNTIFS(B20:B54,"&lt;&gt;"))),"N/T")+ COUNTIF($E$61:INDIRECT("$AW$" &amp;  SUM(60,COUNTIFS(B61:B95,"&lt;&gt;"))),"N/T")</f>
        <v>216.0</v>
      </c>
      <c r="Q9" s="53" t="n">
        <f ca="1">IF(($L$11+$P$11)=0,0,P9/($L$11+$P$11))</f>
        <v>0.7883211678832117</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149999999999999" customHeight="1" thickBot="1">
      <c r="C10" s="280" t="s">
        <v>340</v>
      </c>
      <c r="D10" s="281"/>
      <c r="E10" s="241" t="str">
        <f ca="1">CONCATENATE(ROUND(E11/137*100,2)," %")</f>
        <v>0 %</v>
      </c>
      <c r="F10" s="241" t="str">
        <f ca="1">CONCATENATE(ROUND(F11/137*100,2)," %")</f>
        <v>0.73 %</v>
      </c>
      <c r="G10" s="241" t="str">
        <f ca="1">CONCATENATE(ROUND(G11/137*100,2)," %")</f>
        <v>0 %</v>
      </c>
      <c r="H10" s="241" t="str">
        <f ca="1">CONCATENATE(ROUND(H11/137*100,2)," %")</f>
        <v>0 %</v>
      </c>
      <c r="I10" s="243" t="str">
        <f ca="1">CONCATENATE(ROUND(I11/137*100,2)," %")</f>
        <v>99.27 %</v>
      </c>
      <c r="J10" s="244"/>
      <c r="K10" s="52" t="s">
        <v>31</v>
      </c>
      <c r="L10" s="46" t="n">
        <f ca="1">COUNTIF( $E$20:INDIRECT("$CR$" &amp;  SUM(19,COUNTIFS(B20:B54,"&lt;&gt;"))),"N/A")+COUNTIF($E$61:INDIRECT("$AW$" &amp;  SUM(60,COUNTIFS(B61:B95,"&lt;&gt;"))),"N/A")</f>
        <v>0.0</v>
      </c>
      <c r="M10" s="53" t="n">
        <f ca="1">IF(($L$11+$P$11)=0,0,L10/($L$11+$P$11))</f>
        <v>0.0</v>
      </c>
      <c r="N10" s="28"/>
      <c r="O10" s="183" t="s">
        <v>474</v>
      </c>
      <c r="P10" s="184" t="n">
        <f ca="1">SUM(R5.Genéricos!K14,R6.Voz!K14,R7.Video!K14,R9.Web!K14,'R10.Documentos no web'!K14,R11.Software!K14,R12.ServiciosApoyo!K14)</f>
        <v>0.0</v>
      </c>
      <c r="Q10" s="53" t="n">
        <f ca="1">IF(($L$11+$P$11)=0,0,P10/($L$11+$P$11))</f>
        <v>0.0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149999999999999" customHeight="1" thickBot="1">
      <c r="C11" s="274"/>
      <c r="D11" s="274"/>
      <c r="E11" s="242" t="n">
        <f ca="1">SUM(VALUE(LEFT(E8,SEARCH(" ",E8)-1)),VALUE(LEFT(E9,SEARCH(" ",E9)-1)))</f>
        <v>0.0</v>
      </c>
      <c r="F11" s="242" t="n">
        <f ca="1">SUM(VALUE(LEFT(F8,SEARCH(" ",F8)-1)),VALUE(LEFT(F9,SEARCH(" ",F9)-1)))</f>
        <v>1.0</v>
      </c>
      <c r="G11" s="242" t="n">
        <f ca="1">SUM(VALUE(LEFT(G8,SEARCH(" ",G8)-1)),VALUE(LEFT(G9,SEARCH(" ",G9)-1)))</f>
        <v>0.0</v>
      </c>
      <c r="H11" s="242" t="n">
        <f ca="1">SUM(H8:H9)</f>
        <v>0.0</v>
      </c>
      <c r="I11" s="242" t="n">
        <f ca="1">SUM(I8:I9)</f>
        <v>136.0</v>
      </c>
      <c r="K11" s="54" t="s">
        <v>48</v>
      </c>
      <c r="L11" s="49" t="n">
        <f ca="1">SUM(L8:L10)</f>
        <v>5.0</v>
      </c>
      <c r="M11" s="55" t="n">
        <f ca="1">SUM(M8:M10)</f>
        <v>0.01824817518248175</v>
      </c>
      <c r="N11" s="28"/>
      <c r="O11" s="54" t="s">
        <v>48</v>
      </c>
      <c r="P11" s="49" t="n">
        <f ca="1">SUM(P8:P10)</f>
        <v>269.0</v>
      </c>
      <c r="Q11" s="55" t="n">
        <f ca="1">SUM(Q8:Q10)</f>
        <v>0.9817518248175183</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149999999999999"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65" customHeight="1" thickTop="1">
      <c r="B13" s="180"/>
      <c r="C13" s="180"/>
      <c r="D13" s="182" t="s">
        <v>49</v>
      </c>
      <c r="E13" s="91"/>
      <c r="F13" s="277" t="s">
        <v>339</v>
      </c>
      <c r="G13" s="278"/>
      <c r="H13" s="278"/>
      <c r="I13" s="279"/>
      <c r="J13" s="91"/>
      <c r="K13" s="277" t="s">
        <v>273</v>
      </c>
      <c r="L13" s="27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65" customHeight="1" thickBot="1">
      <c r="B14" s="180"/>
      <c r="C14" s="91"/>
      <c r="D14" s="209" t="str">
        <f>IF(COUNTIF('03.Muestra'!D8:D42,"Página Web")=0,"",IF(H11&gt;0,"Evaluación con errores",IF(OR(I11&gt;0,P11&gt;0),"Evaluación en curso",IF(F11=0,"Plenamente Conforme",IF(F11&gt;=(E11+F11)*'DATA - Oculta'!$C$26,"No Conforme","Parcialmente Conforme")))))</f>
        <v>Evaluación en curso</v>
      </c>
      <c r="E14" s="29"/>
      <c r="F14" s="271" t="str">
        <f>IF(AND(D14&lt;&gt;"Evaluación en curso",D14&lt;&gt;"Evaluación con errores",D14&lt;&gt;""), IF(J8=0,"", ROUND(((COUNT(B20:B54)/(COUNT(B20:B54)+COUNT(B61:B95)))*IF(J8=0,0,LEFT(E8,SEARCH(" ",E8)-1)/J8)+(COUNT(B61:B95)/(COUNT(B20:B54)+COUNT(B61:B95)))*IF(J9=0,0,LEFT(E9,SEARCH(" ",E9)-1)/J9))*10,2)),"")</f>
        <v/>
      </c>
      <c r="G14" s="272"/>
      <c r="H14" s="272"/>
      <c r="I14" s="273"/>
      <c r="J14" s="91"/>
      <c r="K14" s="271" t="str">
        <f>'03.Muestra'!D52</f>
        <v>NO</v>
      </c>
      <c r="L14" s="27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2"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2"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85" t="s">
        <v>361</v>
      </c>
      <c r="C17" s="286"/>
      <c r="D17" s="287"/>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2" t="s">
        <v>50</v>
      </c>
      <c r="C18" s="283"/>
      <c r="D18" s="284"/>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268</v>
      </c>
      <c r="C19" s="96" t="s">
        <v>129</v>
      </c>
      <c r="D19" s="96" t="s">
        <v>363</v>
      </c>
      <c r="E19" s="96" t="s">
        <v>98</v>
      </c>
      <c r="F19" s="96" t="s">
        <v>99</v>
      </c>
      <c r="G19" s="96" t="s">
        <v>100</v>
      </c>
      <c r="H19" s="96" t="s">
        <v>101</v>
      </c>
      <c r="I19" s="96" t="s">
        <v>323</v>
      </c>
      <c r="J19" s="96" t="s">
        <v>324</v>
      </c>
      <c r="K19" s="96" t="s">
        <v>325</v>
      </c>
      <c r="L19" s="96" t="s">
        <v>326</v>
      </c>
      <c r="M19" s="96" t="s">
        <v>327</v>
      </c>
      <c r="N19" s="96" t="s">
        <v>328</v>
      </c>
      <c r="O19" s="96" t="s">
        <v>329</v>
      </c>
      <c r="P19" s="96" t="s">
        <v>330</v>
      </c>
      <c r="Q19" s="96" t="s">
        <v>331</v>
      </c>
      <c r="R19" s="96" t="s">
        <v>332</v>
      </c>
      <c r="S19" s="96" t="s">
        <v>102</v>
      </c>
      <c r="T19" s="96" t="s">
        <v>103</v>
      </c>
      <c r="U19" s="96" t="s">
        <v>333</v>
      </c>
      <c r="V19" s="96" t="s">
        <v>104</v>
      </c>
      <c r="W19" s="96" t="s">
        <v>105</v>
      </c>
      <c r="X19" s="96" t="s">
        <v>334</v>
      </c>
      <c r="Y19" s="96" t="s">
        <v>335</v>
      </c>
      <c r="Z19" s="96" t="s">
        <v>336</v>
      </c>
      <c r="AA19" s="96" t="s">
        <v>106</v>
      </c>
      <c r="AB19" s="96" t="s">
        <v>107</v>
      </c>
      <c r="AC19" s="96" t="s">
        <v>108</v>
      </c>
      <c r="AD19" s="96" t="s">
        <v>337</v>
      </c>
      <c r="AE19" s="96" t="s">
        <v>338</v>
      </c>
      <c r="AF19" s="96" t="s">
        <v>109</v>
      </c>
      <c r="AG19" s="96" t="s">
        <v>110</v>
      </c>
      <c r="AH19" s="96" t="s">
        <v>111</v>
      </c>
      <c r="AI19" s="96" t="s">
        <v>112</v>
      </c>
      <c r="AJ19" s="96" t="s">
        <v>155</v>
      </c>
      <c r="AK19" s="96" t="s">
        <v>156</v>
      </c>
      <c r="AL19" s="96" t="s">
        <v>157</v>
      </c>
      <c r="AM19" s="96" t="s">
        <v>158</v>
      </c>
      <c r="AN19" s="96" t="s">
        <v>159</v>
      </c>
      <c r="AO19" s="96" t="s">
        <v>160</v>
      </c>
      <c r="AP19" s="96" t="s">
        <v>161</v>
      </c>
      <c r="AQ19" s="96" t="s">
        <v>162</v>
      </c>
      <c r="AR19" s="96" t="s">
        <v>163</v>
      </c>
      <c r="AS19" s="96" t="s">
        <v>164</v>
      </c>
      <c r="AT19" s="96" t="s">
        <v>165</v>
      </c>
      <c r="AU19" s="96" t="s">
        <v>166</v>
      </c>
      <c r="AV19" s="96" t="s">
        <v>167</v>
      </c>
      <c r="AW19" s="96" t="s">
        <v>168</v>
      </c>
      <c r="AX19" s="96" t="s">
        <v>169</v>
      </c>
      <c r="AY19" s="96" t="s">
        <v>170</v>
      </c>
      <c r="AZ19" s="96" t="s">
        <v>171</v>
      </c>
      <c r="BA19" s="96" t="s">
        <v>172</v>
      </c>
      <c r="BB19" s="96" t="s">
        <v>173</v>
      </c>
      <c r="BC19" s="96" t="s">
        <v>174</v>
      </c>
      <c r="BD19" s="96" t="s">
        <v>175</v>
      </c>
      <c r="BE19" s="96" t="s">
        <v>176</v>
      </c>
      <c r="BF19" s="96" t="s">
        <v>177</v>
      </c>
      <c r="BG19" s="96" t="s">
        <v>178</v>
      </c>
      <c r="BH19" s="96" t="s">
        <v>179</v>
      </c>
      <c r="BI19" s="96" t="s">
        <v>241</v>
      </c>
      <c r="BJ19" s="96" t="s">
        <v>242</v>
      </c>
      <c r="BK19" s="96" t="s">
        <v>180</v>
      </c>
      <c r="BL19" s="96" t="s">
        <v>181</v>
      </c>
      <c r="BM19" s="96" t="s">
        <v>243</v>
      </c>
      <c r="BN19" s="96" t="s">
        <v>182</v>
      </c>
      <c r="BO19" s="96" t="s">
        <v>183</v>
      </c>
      <c r="BP19" s="96" t="s">
        <v>184</v>
      </c>
      <c r="BQ19" s="96" t="s">
        <v>185</v>
      </c>
      <c r="BR19" s="96" t="s">
        <v>186</v>
      </c>
      <c r="BS19" s="96" t="s">
        <v>187</v>
      </c>
      <c r="BT19" s="96" t="s">
        <v>188</v>
      </c>
      <c r="BU19" s="96" t="s">
        <v>244</v>
      </c>
      <c r="BV19" s="96" t="s">
        <v>189</v>
      </c>
      <c r="BW19" s="96" t="s">
        <v>190</v>
      </c>
      <c r="BX19" s="96" t="s">
        <v>245</v>
      </c>
      <c r="BY19" s="96" t="s">
        <v>246</v>
      </c>
      <c r="BZ19" s="96" t="s">
        <v>191</v>
      </c>
      <c r="CA19" s="96" t="s">
        <v>192</v>
      </c>
      <c r="CB19" s="96" t="s">
        <v>193</v>
      </c>
      <c r="CC19" s="96" t="s">
        <v>194</v>
      </c>
      <c r="CD19" s="96" t="s">
        <v>195</v>
      </c>
      <c r="CE19" s="96" t="s">
        <v>196</v>
      </c>
      <c r="CF19" s="96" t="s">
        <v>247</v>
      </c>
      <c r="CG19" s="96" t="s">
        <v>467</v>
      </c>
      <c r="CH19" s="96" t="s">
        <v>113</v>
      </c>
      <c r="CI19" s="96" t="s">
        <v>114</v>
      </c>
      <c r="CJ19" s="96" t="s">
        <v>115</v>
      </c>
      <c r="CK19" s="96" t="s">
        <v>116</v>
      </c>
      <c r="CL19" s="96" t="s">
        <v>117</v>
      </c>
      <c r="CM19" s="96" t="s">
        <v>118</v>
      </c>
      <c r="CN19" s="96" t="s">
        <v>119</v>
      </c>
      <c r="CO19" s="96" t="s">
        <v>120</v>
      </c>
      <c r="CP19" s="96" t="s">
        <v>121</v>
      </c>
      <c r="CQ19" s="96" t="s">
        <v>122</v>
      </c>
      <c r="CR19" s="96" t="s">
        <v>123</v>
      </c>
      <c r="CU19" s="29"/>
      <c r="CV19" s="29"/>
      <c r="CW19" s="29"/>
      <c r="CX19" s="29"/>
    </row>
    <row r="20" spans="2:102" ht="20.25">
      <c r="B20" s="181" t="n" cm="1">
        <f t="array" ref="B20">IFERROR(INDEX('03.Muestra'!$B$8:$B$42,SMALL(IF("Página Web"='03.Muestra'!$D$8:$D$42,ROW('03.Muestra'!$B$8:$B$42)-MIN(ROW('03.Muestra'!$D$8:$D$42))+1,""),ROW()-19)),"")</f>
        <v>1.0</v>
      </c>
      <c r="C20" s="97" t="str" cm="1">
        <f t="array" ref="C20">IFERROR(INDEX('03.Muestra'!$C$8:$C$42,SMALL(IF("Página Web"='03.Muestra'!$D$8:$D$42,ROW('03.Muestra'!$C$8:$C$42)-MIN(ROW('03.Muestra'!$D$8:$D$42))+1,""),ROW()-19)),"")</f>
        <v>Home - PortCastelló</v>
      </c>
      <c r="D20" s="98" t="str" cm="1">
        <f t="array" ref="D20">IFERROR(INDEX('03.Muestra'!$F$8:$F$42,SMALL(IF("Página Web"='03.Muestra'!$D$8:$D$42,ROW('03.Muestra'!$F$8:$F$42)-MIN(ROW('03.Muestra'!$D$8:$D$42))+1,""),ROW()-19)),"")</f>
        <v>https://www.portcastello.com/</v>
      </c>
      <c r="E20" s="215" t="str" cm="1">
        <f t="array" aca="1" ref="E20" ca="1">IF($B20="","",IF(ISBLANK(INDIRECT("R5.Genéricos!D"&amp;SUM(18,38*0,1))),"",INDIRECT("R5.Genéricos!D"&amp;SUM(18,38*0,1))))</f>
        <v>N/T</v>
      </c>
      <c r="F20" s="215" t="str" cm="1">
        <f t="array" aca="1" ref="F20" ca="1">IF($B20="","",IF(ISBLANK(INDIRECT("R5.Genéricos!D"&amp;SUM(18,38*1,1))),"",INDIRECT("R5.Genéricos!D"&amp;SUM(18,38*1,1))))</f>
        <v>N/T</v>
      </c>
      <c r="G20" s="215" t="str" cm="1">
        <f t="array" aca="1" ref="G20" ca="1">IF($B20="","",IF(ISBLANK(INDIRECT("R5.Genéricos!D"&amp;SUM(18,38*2,1))),"",INDIRECT("R5.Genéricos!D"&amp;SUM(18,38*2,1))))</f>
        <v>N/T</v>
      </c>
      <c r="H20" s="215" t="str" cm="1">
        <f t="array" aca="1" ref="H20" ca="1">IF($B20="","",IF(ISBLANK(INDIRECT("R6.Voz!D"&amp;SUM(18,38*0,1))),"",INDIRECT("R6.Voz!D"&amp;SUM(18,38*0,1))))</f>
        <v>N/T</v>
      </c>
      <c r="I20" s="215" t="str" cm="1">
        <f t="array" aca="1" ref="I20" ca="1">IF($B20="","",IF(ISBLANK(INDIRECT("R6.Voz!D"&amp;SUM(18,38*1,1))),"",INDIRECT("R6.Voz!D"&amp;SUM(18,38*1,1))))</f>
        <v>N/T</v>
      </c>
      <c r="J20" s="215" t="str" cm="1">
        <f t="array" aca="1" ref="J20" ca="1">IF($B20="","",IF(ISBLANK(INDIRECT("R6.Voz!D"&amp;SUM(18,38*2,1))),"",INDIRECT("R6.Voz!D"&amp;SUM(18,38*2,1))))</f>
        <v>N/T</v>
      </c>
      <c r="K20" s="215" t="str" cm="1">
        <f t="array" aca="1" ref="K20" ca="1">IF($B20="","",IF(ISBLANK(INDIRECT("R6.Voz!D"&amp;SUM(18,38*3,1))),"",INDIRECT("R6.Voz!D"&amp;SUM(18,38*3,1))))</f>
        <v>N/T</v>
      </c>
      <c r="L20" s="215" t="str" cm="1">
        <f t="array" aca="1" ref="L20" ca="1">IF($B20="","",IF(ISBLANK(INDIRECT("R6.Voz!D"&amp;SUM(18,38*4,1))),"",INDIRECT("R6.Voz!D"&amp;SUM(18,38*4,1))))</f>
        <v>N/T</v>
      </c>
      <c r="M20" s="215" t="str" cm="1">
        <f t="array" aca="1" ref="M20" ca="1">IF($B20="","",IF(ISBLANK(INDIRECT("R6.Voz!D"&amp;SUM(18,38*5,1))),"",INDIRECT("R6.Voz!D"&amp;SUM(18,38*5,1))))</f>
        <v>N/T</v>
      </c>
      <c r="N20" s="215" t="str" cm="1">
        <f t="array" aca="1" ref="N20" ca="1">IF($B20="","",IF(ISBLANK(INDIRECT("R6.Voz!D"&amp;SUM(18,38*6,1))),"",INDIRECT("R6.Voz!D"&amp;SUM(18,38*6,1))))</f>
        <v>N/T</v>
      </c>
      <c r="O20" s="215" t="str" cm="1">
        <f t="array" aca="1" ref="O20" ca="1">IF($B20="","",IF(ISBLANK(INDIRECT("R6.Voz!D"&amp;SUM(18,38*7,1))),"",INDIRECT("R6.Voz!D"&amp;SUM(18,38*7,1))))</f>
        <v>N/T</v>
      </c>
      <c r="P20" s="215" t="str" cm="1">
        <f t="array" aca="1" ref="P20" ca="1">IF($B20="","",IF(ISBLANK(INDIRECT("R6.Voz!D"&amp;SUM(18,38*8,1))),"",INDIRECT("R6.Voz!D"&amp;SUM(18,38*8,1))))</f>
        <v>N/T</v>
      </c>
      <c r="Q20" s="215" t="str" cm="1">
        <f t="array" aca="1" ref="Q20" ca="1">IF($B20="","",IF(ISBLANK(INDIRECT("R6.Voz!D"&amp;SUM(18,38*9,1))),"",INDIRECT("R6.Voz!D"&amp;SUM(18,38*9,1))))</f>
        <v>N/T</v>
      </c>
      <c r="R20" s="215" t="str" cm="1">
        <f t="array" aca="1" ref="R20" ca="1">IF($B20="","",IF(ISBLANK(INDIRECT("R6.Voz!D"&amp;SUM(18,38*10,1))),"",INDIRECT("R6.Voz!D"&amp;SUM(18,38*10,1))))</f>
        <v>N/T</v>
      </c>
      <c r="S20" s="215" t="str" cm="1">
        <f t="array" aca="1" ref="S20" ca="1">IF($B20="","",IF(ISBLANK(INDIRECT("R6.Voz!D"&amp;SUM(18,38*11,1))),"",INDIRECT("R6.Voz!D"&amp;SUM(18,38*11,1))))</f>
        <v>N/T</v>
      </c>
      <c r="T20" s="215" t="str" cm="1">
        <f t="array" aca="1" ref="T20" ca="1">IF($B20="","",IF(ISBLANK(INDIRECT("R6.Voz!D"&amp;SUM(18,38*12,1))),"",INDIRECT("R6.Voz!D"&amp;SUM(18,38*12,1))))</f>
        <v>N/T</v>
      </c>
      <c r="U20" s="215" t="str" cm="1">
        <f t="array" aca="1" ref="U20" ca="1">IF($B20="","",IF(ISBLANK(INDIRECT("R6.Voz!D"&amp;SUM(18,38*13,1))),"",INDIRECT("R6.Voz!D"&amp;SUM(18,38*13,1))))</f>
        <v>N/T</v>
      </c>
      <c r="V20" s="215" t="str" cm="1">
        <f t="array" aca="1" ref="V20" ca="1">IF($B20="","",IF(ISBLANK(INDIRECT("R6.Voz!D"&amp;SUM(18,38*14,1))),"",INDIRECT("R6.Voz!D"&amp;SUM(18,38*14,1))))</f>
        <v>N/T</v>
      </c>
      <c r="W20" s="215" t="str" cm="1">
        <f t="array" aca="1" ref="W20" ca="1">IF($B20="","",IF(ISBLANK(INDIRECT("R6.Voz!D"&amp;SUM(18,38*15,1))),"",INDIRECT("R6.Voz!D"&amp;SUM(18,38*15,1))))</f>
        <v>N/T</v>
      </c>
      <c r="X20" s="215" t="str" cm="1">
        <f t="array" aca="1" ref="X20" ca="1">IF($B20="","",IF(ISBLANK(INDIRECT("R6.Voz!D"&amp;SUM(18,38*16,1))),"",INDIRECT("R6.Voz!D"&amp;SUM(18,38*16,1))))</f>
        <v>N/T</v>
      </c>
      <c r="Y20" s="215" t="str" cm="1">
        <f t="array" aca="1" ref="Y20" ca="1">IF($B20="","",IF(ISBLANK(INDIRECT("R6.Voz!D"&amp;SUM(18,38*17,1))),"",INDIRECT("R6.Voz!D"&amp;SUM(18,38*17,1))))</f>
        <v>N/T</v>
      </c>
      <c r="Z20" s="215" t="str" cm="1">
        <f t="array" aca="1" ref="Z20" ca="1">IF($B20="","",IF(ISBLANK(INDIRECT("R6.Voz!D"&amp;SUM(18,38*18,1))),"",INDIRECT("R6.Voz!D"&amp;SUM(18,38*18,1))))</f>
        <v>N/T</v>
      </c>
      <c r="AA20" s="215" t="str" cm="1">
        <f t="array" aca="1" ref="AA20" ca="1">IF($B20="","",IF(ISBLANK(INDIRECT("R7.Video!D"&amp;SUM(18,38*0,1))),"",INDIRECT("R7.Video!D"&amp;SUM(18,38*0,1))))</f>
        <v>N/T</v>
      </c>
      <c r="AB20" s="215" t="str" cm="1">
        <f t="array" aca="1" ref="AB20" ca="1">IF($B20="","",IF(ISBLANK(INDIRECT("R7.Video!D"&amp;SUM(18,38*1,1))),"",INDIRECT("R7.Video!D"&amp;SUM(18,38*1,1))))</f>
        <v>N/T</v>
      </c>
      <c r="AC20" s="215" t="str" cm="1">
        <f t="array" aca="1" ref="AC20" ca="1">IF($B20="","",IF(ISBLANK(INDIRECT("R7.Video!D"&amp;SUM(18,38*2,1))),"",INDIRECT("R7.Video!D"&amp;SUM(18,38*2,1))))</f>
        <v>N/T</v>
      </c>
      <c r="AD20" s="215" t="str" cm="1">
        <f t="array" aca="1" ref="AD20" ca="1">IF($B20="","",IF(ISBLANK(INDIRECT("R7.Video!D"&amp;SUM(18,38*3,1))),"",INDIRECT("R7.Video!D"&amp;SUM(18,38*3,1))))</f>
        <v>N/T</v>
      </c>
      <c r="AE20" s="215" t="str" cm="1">
        <f t="array" aca="1" ref="AE20" ca="1">IF($B20="","",IF(ISBLANK(INDIRECT("R7.Video!D"&amp;SUM(18,38*4,1))),"",INDIRECT("R7.Video!D"&amp;SUM(18,38*4,1))))</f>
        <v>N/T</v>
      </c>
      <c r="AF20" s="215" t="str" cm="1">
        <f t="array" aca="1" ref="AF20" ca="1">IF($B20="","",IF(ISBLANK(INDIRECT("R7.Video!D"&amp;SUM(18,38*5,1))),"",INDIRECT("R7.Video!D"&amp;SUM(18,38*5,1))))</f>
        <v>N/T</v>
      </c>
      <c r="AG20" s="215" t="str" cm="1">
        <f t="array" aca="1" ref="AG20" ca="1">IF($B20="","",IF(ISBLANK(INDIRECT("R7.Video!D"&amp;SUM(18,38*6,1))),"",INDIRECT("R7.Video!D"&amp;SUM(18,38*6,1))))</f>
        <v>N/T</v>
      </c>
      <c r="AH20" s="215" t="str" cm="1">
        <f t="array" aca="1" ref="AH20" ca="1">IF($B20="","",IF(ISBLANK(INDIRECT("R7.Video!D"&amp;SUM(18,38*7,1))),"",INDIRECT("R7.Video!D"&amp;SUM(18,38*7,1))))</f>
        <v>N/T</v>
      </c>
      <c r="AI20" s="215" t="str" cm="1">
        <f t="array" aca="1" ref="AI20" ca="1">IF($B20="","",IF(ISBLANK(INDIRECT("R7.Video!D"&amp;SUM(18,38*8,1))),"",INDIRECT("R7.Video!D"&amp;SUM(18,38*8,1))))</f>
        <v>N/T</v>
      </c>
      <c r="AJ20" s="215" t="str" cm="1">
        <f t="array" aca="1" ref="AJ20" ca="1">IF($B20="","",IF(ISBLANK(INDIRECT("R9.Web!D"&amp;SUM(18,38*0,1))),"",INDIRECT("R9.Web!D"&amp;SUM(18,38*0,1))))</f>
        <v>N/D</v>
      </c>
      <c r="AK20" s="215" t="str" cm="1">
        <f t="array" aca="1" ref="AK20" ca="1">IF($B20="","",IF(ISBLANK(INDIRECT("R9.Web!D"&amp;SUM(18,38*1,1))),"",INDIRECT("R9.Web!D"&amp;SUM(18,38*1,1))))</f>
        <v>N/T</v>
      </c>
      <c r="AL20" s="215" t="str" cm="1">
        <f t="array" aca="1" ref="AL20" ca="1">IF($B20="","",IF(ISBLANK(INDIRECT("R9.Web!D"&amp;SUM(18,38*2,1))),"",INDIRECT("R9.Web!D"&amp;SUM(18,38*2,1))))</f>
        <v>N/T</v>
      </c>
      <c r="AM20" s="215" t="str" cm="1">
        <f t="array" aca="1" ref="AM20" ca="1">IF($B20="","",IF(ISBLANK(INDIRECT("R9.Web!D"&amp;SUM(18,38*3,1))),"",INDIRECT("R9.Web!D"&amp;SUM(18,38*3,1))))</f>
        <v>N/T</v>
      </c>
      <c r="AN20" s="215" t="str" cm="1">
        <f t="array" aca="1" ref="AN20" ca="1">IF($B20="","",IF(ISBLANK(INDIRECT("R9.Web!D"&amp;SUM(18,38*4,1))),"",INDIRECT("R9.Web!D"&amp;SUM(18,38*4,1))))</f>
        <v>N/T</v>
      </c>
      <c r="AO20" s="215" t="str" cm="1">
        <f t="array" aca="1" ref="AO20" ca="1">IF($B20="","",IF(ISBLANK(INDIRECT("R9.Web!D"&amp;SUM(18,38*5,1))),"",INDIRECT("R9.Web!D"&amp;SUM(18,38*5,1))))</f>
        <v>N/D</v>
      </c>
      <c r="AP20" s="215" t="str" cm="1">
        <f t="array" aca="1" ref="AP20" ca="1">IF($B20="","",IF(ISBLANK(INDIRECT("R9.Web!D"&amp;SUM(18,38*6,1))),"",INDIRECT("R9.Web!D"&amp;SUM(18,38*6,1))))</f>
        <v>N/T</v>
      </c>
      <c r="AQ20" s="215" t="str" cm="1">
        <f t="array" aca="1" ref="AQ20" ca="1">IF($B20="","",IF(ISBLANK(INDIRECT("R9.Web!D"&amp;SUM(18,38*7,1))),"",INDIRECT("R9.Web!D"&amp;SUM(18,38*7,1))))</f>
        <v>N/T</v>
      </c>
      <c r="AR20" s="215" t="str" cm="1">
        <f t="array" aca="1" ref="AR20" ca="1">IF($B20="","",IF(ISBLANK(INDIRECT("R9.Web!D"&amp;SUM(18,38*8,1))),"",INDIRECT("R9.Web!D"&amp;SUM(18,38*8,1))))</f>
        <v>N/D</v>
      </c>
      <c r="AS20" s="215" t="str" cm="1">
        <f t="array" aca="1" ref="AS20" ca="1">IF($B20="","",IF(ISBLANK(INDIRECT("R9.Web!D"&amp;SUM(18,38*9,1))),"",INDIRECT("R9.Web!D"&amp;SUM(18,38*9,1))))</f>
        <v>N/D</v>
      </c>
      <c r="AT20" s="215" t="str" cm="1">
        <f t="array" aca="1" ref="AT20" ca="1">IF($B20="","",IF(ISBLANK(INDIRECT("R9.Web!D"&amp;SUM(18,38*10,1))),"",INDIRECT("R9.Web!D"&amp;SUM(18,38*10,1))))</f>
        <v>N/T</v>
      </c>
      <c r="AU20" s="215" t="str" cm="1">
        <f t="array" aca="1" ref="AU20" ca="1">IF($B20="","",IF(ISBLANK(INDIRECT("R9.Web!D"&amp;SUM(18,38*11,1))),"",INDIRECT("R9.Web!D"&amp;SUM(18,38*11,1))))</f>
        <v>N/T</v>
      </c>
      <c r="AV20" s="215" t="str" cm="1">
        <f t="array" aca="1" ref="AV20" ca="1">IF($B20="","",IF(ISBLANK(INDIRECT("R9.Web!D"&amp;SUM(18,38*12,1))),"",INDIRECT("R9.Web!D"&amp;SUM(18,38*12,1))))</f>
        <v>N/D</v>
      </c>
      <c r="AW20" s="215" t="str" cm="1">
        <f t="array" aca="1" ref="AW20" ca="1">IF($B20="","",IF(ISBLANK(INDIRECT("R9.Web!D"&amp;SUM(18,38*13,1))),"",INDIRECT("R9.Web!D"&amp;SUM(18,38*13,1))))</f>
        <v>N/T</v>
      </c>
      <c r="AX20" s="215" t="str" cm="1">
        <f t="array" aca="1" ref="AX20" ca="1">IF($B20="","",IF(ISBLANK(INDIRECT("R9.Web!D"&amp;SUM(18,38*14,1))),"",INDIRECT("R9.Web!D"&amp;SUM(18,38*14,1))))</f>
        <v>N/T</v>
      </c>
      <c r="AY20" s="215" t="str" cm="1">
        <f t="array" aca="1" ref="AY20" ca="1">IF($B20="","",IF(ISBLANK(INDIRECT("R9.Web!D"&amp;SUM(18,38*15,1))),"",INDIRECT("R9.Web!D"&amp;SUM(18,38*15,1))))</f>
        <v>N/D</v>
      </c>
      <c r="AZ20" s="215" t="str" cm="1">
        <f t="array" aca="1" ref="AZ20" ca="1">IF($B20="","",IF(ISBLANK(INDIRECT("R9.Web!D"&amp;SUM(18,38*16,1))),"",INDIRECT("R9.Web!D"&amp;SUM(18,38*16,1))))</f>
        <v>N/T</v>
      </c>
      <c r="BA20" s="215" t="str" cm="1">
        <f t="array" aca="1" ref="BA20" ca="1">IF($B20="","",IF(ISBLANK(INDIRECT("R9.Web!D"&amp;SUM(18,38*17,1))),"",INDIRECT("R9.Web!D"&amp;SUM(18,38*17,1))))</f>
        <v>N/D</v>
      </c>
      <c r="BB20" s="215" t="str" cm="1">
        <f t="array" aca="1" ref="BB20" ca="1">IF($B20="","",IF(ISBLANK(INDIRECT("R9.Web!D"&amp;SUM(18,38*18,1))),"",INDIRECT("R9.Web!D"&amp;SUM(18,38*18,1))))</f>
        <v>N/T</v>
      </c>
      <c r="BC20" s="215" t="str" cm="1">
        <f t="array" aca="1" ref="BC20" ca="1">IF($B20="","",IF(ISBLANK(INDIRECT("R9.Web!D"&amp;SUM(18,38*19,1))),"",INDIRECT("R9.Web!D"&amp;SUM(18,38*19,1))))</f>
        <v>N/D</v>
      </c>
      <c r="BD20" s="215" t="str" cm="1">
        <f t="array" aca="1" ref="BD20" ca="1">IF($B20="","",IF(ISBLANK(INDIRECT("R9.Web!D"&amp;SUM(18,38*20,1))),"",INDIRECT("R9.Web!D"&amp;SUM(18,38*20,1))))</f>
        <v>N/T</v>
      </c>
      <c r="BE20" s="215" t="str" cm="1">
        <f t="array" aca="1" ref="BE20" ca="1">IF($B20="","",IF(ISBLANK(INDIRECT("R9.Web!D"&amp;SUM(18,38*21,1))),"",INDIRECT("R9.Web!D"&amp;SUM(18,38*21,1))))</f>
        <v>N/T</v>
      </c>
      <c r="BF20" s="215" t="str" cm="1">
        <f t="array" aca="1" ref="BF20" ca="1">IF($B20="","",IF(ISBLANK(INDIRECT("R9.Web!D"&amp;SUM(18,38*22,1))),"",INDIRECT("R9.Web!D"&amp;SUM(18,38*22,1))))</f>
        <v>N/D</v>
      </c>
      <c r="BG20" s="215" t="str" cm="1">
        <f t="array" aca="1" ref="BG20" ca="1">IF($B20="","",IF(ISBLANK(INDIRECT("R9.Web!D"&amp;SUM(18,38*23,1))),"",INDIRECT("R9.Web!D"&amp;SUM(18,38*23,1))))</f>
        <v>N/D</v>
      </c>
      <c r="BH20" s="215" t="str" cm="1">
        <f t="array" aca="1" ref="BH20" ca="1">IF($B20="","",IF(ISBLANK(INDIRECT("R9.Web!D"&amp;SUM(18,38*24,1))),"",INDIRECT("R9.Web!D"&amp;SUM(18,38*24,1))))</f>
        <v>N/T</v>
      </c>
      <c r="BI20" s="215" t="str" cm="1">
        <f t="array" aca="1" ref="BI20" ca="1">IF($B20="","",IF(ISBLANK(INDIRECT("R9.Web!D"&amp;SUM(18,38*25,1))),"",INDIRECT("R9.Web!D"&amp;SUM(18,38*25,1))))</f>
        <v>N/D</v>
      </c>
      <c r="BJ20" s="215" t="str" cm="1">
        <f t="array" aca="1" ref="BJ20" ca="1">IF($B20="","",IF(ISBLANK(INDIRECT("R9.Web!D"&amp;SUM(18,38*26,1))),"",INDIRECT("R9.Web!D"&amp;SUM(18,38*26,1))))</f>
        <v>N/D</v>
      </c>
      <c r="BK20" s="215" t="str" cm="1">
        <f t="array" aca="1" ref="BK20" ca="1">IF($B20="","",IF(ISBLANK(INDIRECT("R9.Web!D"&amp;SUM(18,38*27,1))),"",INDIRECT("R9.Web!D"&amp;SUM(18,38*27,1))))</f>
        <v>N/D</v>
      </c>
      <c r="BL20" s="215" t="str" cm="1">
        <f t="array" aca="1" ref="BL20" ca="1">IF($B20="","",IF(ISBLANK(INDIRECT("R9.Web!D"&amp;SUM(18,38*28,1))),"",INDIRECT("R9.Web!D"&amp;SUM(18,38*28,1))))</f>
        <v>N/D</v>
      </c>
      <c r="BM20" s="215" t="str" cm="1">
        <f t="array" aca="1" ref="BM20" ca="1">IF($B20="","",IF(ISBLANK(INDIRECT("R9.Web!D"&amp;SUM(18,38*29,1))),"",INDIRECT("R9.Web!D"&amp;SUM(18,38*29,1))))</f>
        <v>N/D</v>
      </c>
      <c r="BN20" s="215" t="str" cm="1">
        <f t="array" aca="1" ref="BN20" ca="1">IF($B20="","",IF(ISBLANK(INDIRECT("R9.Web!D"&amp;SUM(18,38*30,1))),"",INDIRECT("R9.Web!D"&amp;SUM(18,38*30,1))))</f>
        <v>N/T</v>
      </c>
      <c r="BO20" s="215" t="str" cm="1">
        <f t="array" aca="1" ref="BO20" ca="1">IF($B20="","",IF(ISBLANK(INDIRECT("R9.Web!D"&amp;SUM(18,38*31,1))),"",INDIRECT("R9.Web!D"&amp;SUM(18,38*31,1))))</f>
        <v>N/D</v>
      </c>
      <c r="BP20" s="215" t="str" cm="1">
        <f t="array" aca="1" ref="BP20" ca="1">IF($B20="","",IF(ISBLANK(INDIRECT("R9.Web!D"&amp;SUM(18,38*32,1))),"",INDIRECT("R9.Web!D"&amp;SUM(18,38*32,1))))</f>
        <v>N/T</v>
      </c>
      <c r="BQ20" s="215" t="str" cm="1">
        <f t="array" aca="1" ref="BQ20" ca="1">IF($B20="","",IF(ISBLANK(INDIRECT("R9.Web!D"&amp;SUM(18,38*33,1))),"",INDIRECT("R9.Web!D"&amp;SUM(18,38*33,1))))</f>
        <v>N/T</v>
      </c>
      <c r="BR20" s="215" t="str" cm="1">
        <f t="array" aca="1" ref="BR20" ca="1">IF($B20="","",IF(ISBLANK(INDIRECT("R9.Web!D"&amp;SUM(18,38*34,1))),"",INDIRECT("R9.Web!D"&amp;SUM(18,38*34,1))))</f>
        <v>N/D</v>
      </c>
      <c r="BS20" s="215" t="str" cm="1">
        <f t="array" aca="1" ref="BS20" ca="1">IF($B20="","",IF(ISBLANK(INDIRECT("R9.Web!D"&amp;SUM(18,38*35,1))),"",INDIRECT("R9.Web!D"&amp;SUM(18,38*35,1))))</f>
        <v>N/T</v>
      </c>
      <c r="BT20" s="215" t="str" cm="1">
        <f t="array" aca="1" ref="BT20" ca="1">IF($B20="","",IF(ISBLANK(INDIRECT("R9.Web!D"&amp;SUM(18,38*36,1))),"",INDIRECT("R9.Web!D"&amp;SUM(18,38*36,1))))</f>
        <v>N/D</v>
      </c>
      <c r="BU20" s="215" t="str" cm="1">
        <f t="array" aca="1" ref="BU20" ca="1">IF($B20="","",IF(ISBLANK(INDIRECT("R9.Web!D"&amp;SUM(18,38*37,1))),"",INDIRECT("R9.Web!D"&amp;SUM(18,38*37,1))))</f>
        <v>N/D</v>
      </c>
      <c r="BV20" s="215" t="str" cm="1">
        <f t="array" aca="1" ref="BV20" ca="1">IF($B20="","",IF(ISBLANK(INDIRECT("R9.Web!D"&amp;SUM(18,38*38,1))),"",INDIRECT("R9.Web!D"&amp;SUM(18,38*38,1))))</f>
        <v>N/D</v>
      </c>
      <c r="BW20" s="215" t="str" cm="1">
        <f t="array" aca="1" ref="BW20" ca="1">IF($B20="","",IF(ISBLANK(INDIRECT("R9.Web!D"&amp;SUM(18,38*39,1))),"",INDIRECT("R9.Web!D"&amp;SUM(18,38*39,1))))</f>
        <v>N/D</v>
      </c>
      <c r="BX20" s="215" t="str" cm="1">
        <f t="array" aca="1" ref="BX20" ca="1">IF($B20="","",IF(ISBLANK(INDIRECT("R9.Web!D"&amp;SUM(18,38*40,1))),"",INDIRECT("R9.Web!D"&amp;SUM(18,38*40,1))))</f>
        <v>N/D</v>
      </c>
      <c r="BY20" s="215" t="str" cm="1">
        <f t="array" aca="1" ref="BY20" ca="1">IF($B20="","",IF(ISBLANK(INDIRECT("R9.Web!D"&amp;SUM(18,38*41,1))),"",INDIRECT("R9.Web!D"&amp;SUM(18,38*41,1))))</f>
        <v>N/T</v>
      </c>
      <c r="BZ20" s="215" t="str" cm="1">
        <f t="array" aca="1" ref="BZ20" ca="1">IF($B20="","",IF(ISBLANK(INDIRECT("R9.Web!D"&amp;SUM(18,38*42,1))),"",INDIRECT("R9.Web!D"&amp;SUM(18,38*42,1))))</f>
        <v>N/T</v>
      </c>
      <c r="CA20" s="215" t="str" cm="1">
        <f t="array" aca="1" ref="CA20" ca="1">IF($B20="","",IF(ISBLANK(INDIRECT("R9.Web!D"&amp;SUM(18,38*43,1))),"",INDIRECT("R9.Web!D"&amp;SUM(18,38*43,1))))</f>
        <v>N/D</v>
      </c>
      <c r="CB20" s="215" t="str" cm="1">
        <f t="array" aca="1" ref="CB20" ca="1">IF($B20="","",IF(ISBLANK(INDIRECT("R9.Web!D"&amp;SUM(18,38*44,1))),"",INDIRECT("R9.Web!D"&amp;SUM(18,38*44,1))))</f>
        <v>N/T</v>
      </c>
      <c r="CC20" s="215" t="str" cm="1">
        <f t="array" aca="1" ref="CC20" ca="1">IF($B20="","",IF(ISBLANK(INDIRECT("R9.Web!D"&amp;SUM(18,38*45,1))),"",INDIRECT("R9.Web!D"&amp;SUM(18,38*45,1))))</f>
        <v>N/T</v>
      </c>
      <c r="CD20" s="215" t="str" cm="1">
        <f t="array" aca="1" ref="CD20" ca="1">IF($B20="","",IF(ISBLANK(INDIRECT("R9.Web!D"&amp;SUM(18,38*46,1))),"",INDIRECT("R9.Web!D"&amp;SUM(18,38*46,1))))</f>
        <v>N/T</v>
      </c>
      <c r="CE20" s="215" t="str" cm="1">
        <f t="array" aca="1" ref="CE20" ca="1">IF($B20="","",IF(ISBLANK(INDIRECT("R9.Web!D"&amp;SUM(18,38*47,1))),"",INDIRECT("R9.Web!D"&amp;SUM(18,38*47,1))))</f>
        <v>N/D</v>
      </c>
      <c r="CF20" s="215" t="str" cm="1">
        <f t="array" aca="1" ref="CF20" ca="1">IF($B20="","",IF(ISBLANK(INDIRECT("R9.Web!D"&amp;SUM(18,38*48,1))),"",INDIRECT("R9.Web!D"&amp;SUM(18,38*48,1))))</f>
        <v>N/T</v>
      </c>
      <c r="CG20" s="215" t="str" cm="1">
        <f t="array" aca="1" ref="CG20" ca="1">IF($B20="","",IF(ISBLANK(INDIRECT("R9.Web!D"&amp;SUM(18,38*49,1))),"",INDIRECT("R9.Web!D"&amp;SUM(18,38*49,1))))</f>
        <v>N/T</v>
      </c>
      <c r="CH20" s="215" t="str" cm="1">
        <f t="array" aca="1" ref="CH20" ca="1">IF($B20="","",IF(ISBLANK(INDIRECT("R11.Software!D"&amp;SUM(18,38*0,1))),"",INDIRECT("R11.Software!D"&amp;SUM(18,38*0,1))))</f>
        <v>N/T</v>
      </c>
      <c r="CI20" s="215" t="str" cm="1">
        <f t="array" aca="1" ref="CI20" ca="1">IF($B20="","",IF(ISBLANK(INDIRECT("R11.Software!D"&amp;SUM(18,38*1,1))),"",INDIRECT("R11.Software!D"&amp;SUM(18,38*1,1))))</f>
        <v>N/T</v>
      </c>
      <c r="CJ20" s="215" t="str" cm="1">
        <f t="array" aca="1" ref="CJ20" ca="1">IF($B20="","",IF(ISBLANK(INDIRECT("R11.Software!D"&amp;SUM(18,38*2,1))),"",INDIRECT("R11.Software!D"&amp;SUM(18,38*2,1))))</f>
        <v>N/T</v>
      </c>
      <c r="CK20" s="215" t="str" cm="1">
        <f t="array" aca="1" ref="CK20" ca="1">IF($B20="","",IF(ISBLANK(INDIRECT("R11.Software!D"&amp;SUM(18,38*3,1))),"",INDIRECT("R11.Software!D"&amp;SUM(18,38*3,1))))</f>
        <v>N/T</v>
      </c>
      <c r="CL20" s="215" t="str" cm="1">
        <f t="array" aca="1" ref="CL20" ca="1">IF($B20="","",IF(ISBLANK(INDIRECT("R11.Software!D"&amp;SUM(18,38*4,1))),"",INDIRECT("R11.Software!D"&amp;SUM(18,38*4,1))))</f>
        <v>N/T</v>
      </c>
      <c r="CM20" s="215" t="str" cm="1">
        <f t="array" aca="1" ref="CM20" ca="1">IF($B20="","",IF(ISBLANK(INDIRECT("R11.Software!D"&amp;SUM(18,38*5,1))),"",INDIRECT("R11.Software!D"&amp;SUM(18,38*5,1))))</f>
        <v>N/T</v>
      </c>
      <c r="CN20" s="215" t="str" cm="1">
        <f t="array" aca="1" ref="CN20" ca="1">IF($B20="","",IF(ISBLANK(INDIRECT("R12.ServiciosApoyo!D"&amp;SUM(18,38*0,1))),"",INDIRECT("R12.ServiciosApoyo!D"&amp;SUM(18,38*0,1))))</f>
        <v>N/T</v>
      </c>
      <c r="CO20" s="215" t="str" cm="1">
        <f t="array" aca="1" ref="CO20" ca="1">IF($B20="","",IF(ISBLANK(INDIRECT("R12.ServiciosApoyo!D"&amp;SUM(18,38*1,1))),"",INDIRECT("R12.ServiciosApoyo!D"&amp;SUM(18,38*1,1))))</f>
        <v>N/T</v>
      </c>
      <c r="CP20" s="215" t="str" cm="1">
        <f t="array" aca="1" ref="CP20" ca="1">IF($B20="","",IF(ISBLANK(INDIRECT("R12.ServiciosApoyo!D"&amp;SUM(18,38*2,1))),"",INDIRECT("R12.ServiciosApoyo!D"&amp;SUM(18,38*2,1))))</f>
        <v>N/T</v>
      </c>
      <c r="CQ20" s="215" t="str" cm="1">
        <f t="array" aca="1" ref="CQ20" ca="1">IF($B20="","",IF(ISBLANK(INDIRECT("R12.ServiciosApoyo!D"&amp;SUM(18,38*3,1))),"",INDIRECT("R12.ServiciosApoyo!D"&amp;SUM(18,38*3,1))))</f>
        <v>N/T</v>
      </c>
      <c r="CR20" s="215" t="str" cm="1">
        <f t="array" aca="1" ref="CR20" ca="1">IF($B20="","",IF(ISBLANK(INDIRECT("R12.ServiciosApoyo!D"&amp;SUM(18,38*4,1))),"",INDIRECT("R12.ServiciosApoyo!D"&amp;SUM(18,38*4,1))))</f>
        <v>N/T</v>
      </c>
      <c r="CU20" s="31"/>
      <c r="CV20" s="29"/>
      <c r="CW20" s="29"/>
      <c r="CX20" s="29"/>
    </row>
    <row r="21" spans="2:102" ht="20.25">
      <c r="B21" s="181" t="n" cm="1">
        <f t="array" ref="B21">IFERROR(INDEX('03.Muestra'!$B$8:$B$42,SMALL(IF("Página Web"='03.Muestra'!$D$8:$D$42,ROW('03.Muestra'!$B$8:$B$42)-MIN(ROW('03.Muestra'!$D$8:$D$42))+1,""),ROW()-19)),"")</f>
        <v>1.0</v>
      </c>
      <c r="C21" s="97" t="str" cm="1">
        <f t="array" ref="C21">IFERROR(INDEX('03.Muestra'!$C$8:$C$42,SMALL(IF("Página Web"='03.Muestra'!$D$8:$D$42,ROW('03.Muestra'!$C$8:$C$42)-MIN(ROW('03.Muestra'!$D$8:$D$42))+1,""),ROW()-19)),"")</f>
        <v>Home - PortCastelló</v>
      </c>
      <c r="D21" s="98" t="str" cm="1">
        <f t="array" ref="D21">IFERROR(INDEX('03.Muestra'!$F$8:$F$42,SMALL(IF("Página Web"='03.Muestra'!$D$8:$D$42,ROW('03.Muestra'!$F$8:$F$42)-MIN(ROW('03.Muestra'!$D$8:$D$42))+1,""),ROW()-19)),"")</f>
        <v>https://www.portcastello.com/</v>
      </c>
      <c r="E21" s="215" t="str" cm="1">
        <f t="array" aca="1" ref="E21" ca="1">IF($B21="","",IF(ISBLANK(INDIRECT("R5.Genéricos!D"&amp;SUM(18,38*0,2))),"",INDIRECT("R5.Genéricos!D"&amp;SUM(18,38*0,2))))</f>
        <v>N/T</v>
      </c>
      <c r="F21" s="215" t="str" cm="1">
        <f t="array" aca="1" ref="F21" ca="1">IF($B21="","",IF(ISBLANK(INDIRECT("R5.Genéricos!D"&amp;SUM(18,38*1,2))),"",INDIRECT("R5.Genéricos!D"&amp;SUM(18,38*1,2))))</f>
        <v>N/T</v>
      </c>
      <c r="G21" s="215" t="str" cm="1">
        <f t="array" aca="1" ref="G21" ca="1">IF($B21="","",IF(ISBLANK(INDIRECT("R5.Genéricos!D"&amp;SUM(18,38*2,2))),"",INDIRECT("R5.Genéricos!D"&amp;SUM(18,38*2,2))))</f>
        <v>N/T</v>
      </c>
      <c r="H21" s="215" t="str" cm="1">
        <f t="array" aca="1" ref="H21" ca="1">IF($B21="","",IF(ISBLANK(INDIRECT("R6.Voz!D"&amp;SUM(18,38*0,2))),"",INDIRECT("R6.Voz!D"&amp;SUM(18,38*0,2))))</f>
        <v>N/T</v>
      </c>
      <c r="I21" s="215" t="str" cm="1">
        <f t="array" aca="1" ref="I21" ca="1">IF($B21="","",IF(ISBLANK(INDIRECT("R6.Voz!D"&amp;SUM(18,38*1,2))),"",INDIRECT("R6.Voz!D"&amp;SUM(18,38*1,2))))</f>
        <v>N/T</v>
      </c>
      <c r="J21" s="215" t="str" cm="1">
        <f t="array" aca="1" ref="J21" ca="1">IF($B21="","",IF(ISBLANK(INDIRECT("R6.Voz!D"&amp;SUM(18,38*2,2))),"",INDIRECT("R6.Voz!D"&amp;SUM(18,38*2,2))))</f>
        <v>N/T</v>
      </c>
      <c r="K21" s="215" t="str" cm="1">
        <f t="array" aca="1" ref="K21" ca="1">IF($B21="","",IF(ISBLANK(INDIRECT("R6.Voz!D"&amp;SUM(18,38*3,2))),"",INDIRECT("R6.Voz!D"&amp;SUM(18,38*3,2))))</f>
        <v>N/T</v>
      </c>
      <c r="L21" s="215" t="str" cm="1">
        <f t="array" aca="1" ref="L21" ca="1">IF($B21="","",IF(ISBLANK(INDIRECT("R6.Voz!D"&amp;SUM(18,38*4,2))),"",INDIRECT("R6.Voz!D"&amp;SUM(18,38*4,2))))</f>
        <v>N/T</v>
      </c>
      <c r="M21" s="215" t="str" cm="1">
        <f t="array" aca="1" ref="M21" ca="1">IF($B21="","",IF(ISBLANK(INDIRECT("R6.Voz!D"&amp;SUM(18,38*5,2))),"",INDIRECT("R6.Voz!D"&amp;SUM(18,38*5,2))))</f>
        <v>N/T</v>
      </c>
      <c r="N21" s="215" t="str" cm="1">
        <f t="array" aca="1" ref="N21" ca="1">IF($B21="","",IF(ISBLANK(INDIRECT("R6.Voz!D"&amp;SUM(18,38*6,2))),"",INDIRECT("R6.Voz!D"&amp;SUM(18,38*6,2))))</f>
        <v>N/T</v>
      </c>
      <c r="O21" s="215" t="str" cm="1">
        <f t="array" aca="1" ref="O21" ca="1">IF($B21="","",IF(ISBLANK(INDIRECT("R6.Voz!D"&amp;SUM(18,38*7,2))),"",INDIRECT("R6.Voz!D"&amp;SUM(18,38*7,2))))</f>
        <v>N/T</v>
      </c>
      <c r="P21" s="215" t="str" cm="1">
        <f t="array" aca="1" ref="P21" ca="1">IF($B21="","",IF(ISBLANK(INDIRECT("R6.Voz!D"&amp;SUM(18,38*8,2))),"",INDIRECT("R6.Voz!D"&amp;SUM(18,38*8,2))))</f>
        <v>N/T</v>
      </c>
      <c r="Q21" s="215" t="str" cm="1">
        <f t="array" aca="1" ref="Q21" ca="1">IF($B21="","",IF(ISBLANK(INDIRECT("R6.Voz!D"&amp;SUM(18,38*9,2))),"",INDIRECT("R6.Voz!D"&amp;SUM(18,38*9,2))))</f>
        <v>N/T</v>
      </c>
      <c r="R21" s="215" t="str" cm="1">
        <f t="array" aca="1" ref="R21" ca="1">IF($B21="","",IF(ISBLANK(INDIRECT("R6.Voz!D"&amp;SUM(18,38*10,2))),"",INDIRECT("R6.Voz!D"&amp;SUM(18,38*10,2))))</f>
        <v>N/T</v>
      </c>
      <c r="S21" s="215" t="str" cm="1">
        <f t="array" aca="1" ref="S21" ca="1">IF($B21="","",IF(ISBLANK(INDIRECT("R6.Voz!D"&amp;SUM(18,38*11,2))),"",INDIRECT("R6.Voz!D"&amp;SUM(18,38*11,2))))</f>
        <v>N/T</v>
      </c>
      <c r="T21" s="215" t="str" cm="1">
        <f t="array" aca="1" ref="T21" ca="1">IF($B21="","",IF(ISBLANK(INDIRECT("R6.Voz!D"&amp;SUM(18,38*12,2))),"",INDIRECT("R6.Voz!D"&amp;SUM(18,38*12,2))))</f>
        <v>N/T</v>
      </c>
      <c r="U21" s="215" t="str" cm="1">
        <f t="array" aca="1" ref="U21" ca="1">IF($B21="","",IF(ISBLANK(INDIRECT("R6.Voz!D"&amp;SUM(18,38*13,2))),"",INDIRECT("R6.Voz!D"&amp;SUM(18,38*13,2))))</f>
        <v>N/T</v>
      </c>
      <c r="V21" s="215" t="str" cm="1">
        <f t="array" aca="1" ref="V21" ca="1">IF($B21="","",IF(ISBLANK(INDIRECT("R6.Voz!D"&amp;SUM(18,38*14,2))),"",INDIRECT("R6.Voz!D"&amp;SUM(18,38*14,2))))</f>
        <v>N/T</v>
      </c>
      <c r="W21" s="215" t="str" cm="1">
        <f t="array" aca="1" ref="W21" ca="1">IF($B21="","",IF(ISBLANK(INDIRECT("R6.Voz!D"&amp;SUM(18,38*15,2))),"",INDIRECT("R6.Voz!D"&amp;SUM(18,38*15,2))))</f>
        <v>N/T</v>
      </c>
      <c r="X21" s="215" t="str" cm="1">
        <f t="array" aca="1" ref="X21" ca="1">IF($B21="","",IF(ISBLANK(INDIRECT("R6.Voz!D"&amp;SUM(18,38*16,2))),"",INDIRECT("R6.Voz!D"&amp;SUM(18,38*16,2))))</f>
        <v>N/T</v>
      </c>
      <c r="Y21" s="215" t="str" cm="1">
        <f t="array" aca="1" ref="Y21" ca="1">IF($B21="","",IF(ISBLANK(INDIRECT("R6.Voz!D"&amp;SUM(18,38*17,2))),"",INDIRECT("R6.Voz!D"&amp;SUM(18,38*17,2))))</f>
        <v>N/T</v>
      </c>
      <c r="Z21" s="215" t="str" cm="1">
        <f t="array" aca="1" ref="Z21" ca="1">IF($B21="","",IF(ISBLANK(INDIRECT("R6.Voz!D"&amp;SUM(18,38*18,2))),"",INDIRECT("R6.Voz!D"&amp;SUM(18,38*18,2))))</f>
        <v>N/T</v>
      </c>
      <c r="AA21" s="215" t="str" cm="1">
        <f t="array" aca="1" ref="AA21" ca="1">IF($B21="","",IF(ISBLANK(INDIRECT("R7.Video!D"&amp;SUM(18,38*0,2))),"",INDIRECT("R7.Video!D"&amp;SUM(18,38*0,2))))</f>
        <v>N/T</v>
      </c>
      <c r="AB21" s="215" t="str" cm="1">
        <f t="array" aca="1" ref="AB21" ca="1">IF($B21="","",IF(ISBLANK(INDIRECT("R7.Video!D"&amp;SUM(18,38*1,2))),"",INDIRECT("R7.Video!D"&amp;SUM(18,38*1,2))))</f>
        <v>N/T</v>
      </c>
      <c r="AC21" s="215" t="str" cm="1">
        <f t="array" aca="1" ref="AC21" ca="1">IF($B21="","",IF(ISBLANK(INDIRECT("R7.Video!D"&amp;SUM(18,38*2,2))),"",INDIRECT("R7.Video!D"&amp;SUM(18,38*2,2))))</f>
        <v>N/T</v>
      </c>
      <c r="AD21" s="215" t="str" cm="1">
        <f t="array" aca="1" ref="AD21" ca="1">IF($B21="","",IF(ISBLANK(INDIRECT("R7.Video!D"&amp;SUM(18,38*3,2))),"",INDIRECT("R7.Video!D"&amp;SUM(18,38*3,2))))</f>
        <v>N/T</v>
      </c>
      <c r="AE21" s="215" t="str" cm="1">
        <f t="array" aca="1" ref="AE21" ca="1">IF($B21="","",IF(ISBLANK(INDIRECT("R7.Video!D"&amp;SUM(18,38*4,2))),"",INDIRECT("R7.Video!D"&amp;SUM(18,38*4,2))))</f>
        <v>N/T</v>
      </c>
      <c r="AF21" s="215" t="str" cm="1">
        <f t="array" aca="1" ref="AF21" ca="1">IF($B21="","",IF(ISBLANK(INDIRECT("R7.Video!D"&amp;SUM(18,38*5,2))),"",INDIRECT("R7.Video!D"&amp;SUM(18,38*5,2))))</f>
        <v>N/T</v>
      </c>
      <c r="AG21" s="215" t="str" cm="1">
        <f t="array" aca="1" ref="AG21" ca="1">IF($B21="","",IF(ISBLANK(INDIRECT("R7.Video!D"&amp;SUM(18,38*6,2))),"",INDIRECT("R7.Video!D"&amp;SUM(18,38*6,2))))</f>
        <v>N/T</v>
      </c>
      <c r="AH21" s="215" t="str" cm="1">
        <f t="array" aca="1" ref="AH21" ca="1">IF($B21="","",IF(ISBLANK(INDIRECT("R7.Video!D"&amp;SUM(18,38*7,2))),"",INDIRECT("R7.Video!D"&amp;SUM(18,38*7,2))))</f>
        <v>N/T</v>
      </c>
      <c r="AI21" s="215" t="str" cm="1">
        <f t="array" aca="1" ref="AI21" ca="1">IF($B21="","",IF(ISBLANK(INDIRECT("R7.Video!D"&amp;SUM(18,38*8,2))),"",INDIRECT("R7.Video!D"&amp;SUM(18,38*8,2))))</f>
        <v>N/T</v>
      </c>
      <c r="AJ21" s="215" t="str" cm="1">
        <f t="array" aca="1" ref="AJ21" ca="1">IF($B21="","",IF(ISBLANK(INDIRECT("R9.Web!D"&amp;SUM(18,38*0,2))),"",INDIRECT("R9.Web!D"&amp;SUM(18,38*0,2))))</f>
        <v>N/D</v>
      </c>
      <c r="AK21" s="215" t="str" cm="1">
        <f t="array" aca="1" ref="AK21" ca="1">IF($B21="","",IF(ISBLANK(INDIRECT("R9.Web!D"&amp;SUM(18,38*1,2))),"",INDIRECT("R9.Web!D"&amp;SUM(18,38*1,2))))</f>
        <v>N/T</v>
      </c>
      <c r="AL21" s="215" t="str" cm="1">
        <f t="array" aca="1" ref="AL21" ca="1">IF($B21="","",IF(ISBLANK(INDIRECT("R9.Web!D"&amp;SUM(18,38*2,2))),"",INDIRECT("R9.Web!D"&amp;SUM(18,38*2,2))))</f>
        <v>N/T</v>
      </c>
      <c r="AM21" s="215" t="str" cm="1">
        <f t="array" aca="1" ref="AM21" ca="1">IF($B21="","",IF(ISBLANK(INDIRECT("R9.Web!D"&amp;SUM(18,38*3,2))),"",INDIRECT("R9.Web!D"&amp;SUM(18,38*3,2))))</f>
        <v>N/T</v>
      </c>
      <c r="AN21" s="215" t="str" cm="1">
        <f t="array" aca="1" ref="AN21" ca="1">IF($B21="","",IF(ISBLANK(INDIRECT("R9.Web!D"&amp;SUM(18,38*4,2))),"",INDIRECT("R9.Web!D"&amp;SUM(18,38*4,2))))</f>
        <v>N/T</v>
      </c>
      <c r="AO21" s="215" t="str" cm="1">
        <f t="array" aca="1" ref="AO21" ca="1">IF($B21="","",IF(ISBLANK(INDIRECT("R9.Web!D"&amp;SUM(18,38*5,2))),"",INDIRECT("R9.Web!D"&amp;SUM(18,38*5,2))))</f>
        <v>N/D</v>
      </c>
      <c r="AP21" s="215" t="str" cm="1">
        <f t="array" aca="1" ref="AP21" ca="1">IF($B21="","",IF(ISBLANK(INDIRECT("R9.Web!D"&amp;SUM(18,38*6,2))),"",INDIRECT("R9.Web!D"&amp;SUM(18,38*6,2))))</f>
        <v>N/T</v>
      </c>
      <c r="AQ21" s="215" t="str" cm="1">
        <f t="array" aca="1" ref="AQ21" ca="1">IF($B21="","",IF(ISBLANK(INDIRECT("R9.Web!D"&amp;SUM(18,38*7,2))),"",INDIRECT("R9.Web!D"&amp;SUM(18,38*7,2))))</f>
        <v>N/T</v>
      </c>
      <c r="AR21" s="215" t="str" cm="1">
        <f t="array" aca="1" ref="AR21" ca="1">IF($B21="","",IF(ISBLANK(INDIRECT("R9.Web!D"&amp;SUM(18,38*8,2))),"",INDIRECT("R9.Web!D"&amp;SUM(18,38*8,2))))</f>
        <v>N/D</v>
      </c>
      <c r="AS21" s="215" t="str" cm="1">
        <f t="array" aca="1" ref="AS21" ca="1">IF($B21="","",IF(ISBLANK(INDIRECT("R9.Web!D"&amp;SUM(18,38*9,2))),"",INDIRECT("R9.Web!D"&amp;SUM(18,38*9,2))))</f>
        <v>N/D</v>
      </c>
      <c r="AT21" s="215" t="str" cm="1">
        <f t="array" aca="1" ref="AT21" ca="1">IF($B21="","",IF(ISBLANK(INDIRECT("R9.Web!D"&amp;SUM(18,38*10,2))),"",INDIRECT("R9.Web!D"&amp;SUM(18,38*10,2))))</f>
        <v>N/T</v>
      </c>
      <c r="AU21" s="215" t="str" cm="1">
        <f t="array" aca="1" ref="AU21" ca="1">IF($B21="","",IF(ISBLANK(INDIRECT("R9.Web!D"&amp;SUM(18,38*11,2))),"",INDIRECT("R9.Web!D"&amp;SUM(18,38*11,2))))</f>
        <v>N/T</v>
      </c>
      <c r="AV21" s="215" t="str" cm="1">
        <f t="array" aca="1" ref="AV21" ca="1">IF($B21="","",IF(ISBLANK(INDIRECT("R9.Web!D"&amp;SUM(18,38*12,2))),"",INDIRECT("R9.Web!D"&amp;SUM(18,38*12,2))))</f>
        <v>N/D</v>
      </c>
      <c r="AW21" s="215" t="str" cm="1">
        <f t="array" aca="1" ref="AW21" ca="1">IF($B21="","",IF(ISBLANK(INDIRECT("R9.Web!D"&amp;SUM(18,38*13,2))),"",INDIRECT("R9.Web!D"&amp;SUM(18,38*13,2))))</f>
        <v>N/T</v>
      </c>
      <c r="AX21" s="215" t="str" cm="1">
        <f t="array" aca="1" ref="AX21" ca="1">IF($B21="","",IF(ISBLANK(INDIRECT("R9.Web!D"&amp;SUM(18,38*14,2))),"",INDIRECT("R9.Web!D"&amp;SUM(18,38*14,2))))</f>
        <v>N/T</v>
      </c>
      <c r="AY21" s="215" t="str" cm="1">
        <f t="array" aca="1" ref="AY21" ca="1">IF($B21="","",IF(ISBLANK(INDIRECT("R9.Web!D"&amp;SUM(18,38*15,2))),"",INDIRECT("R9.Web!D"&amp;SUM(18,38*15,2))))</f>
        <v>N/D</v>
      </c>
      <c r="AZ21" s="215" t="str" cm="1">
        <f t="array" aca="1" ref="AZ21" ca="1">IF($B21="","",IF(ISBLANK(INDIRECT("R9.Web!D"&amp;SUM(18,38*16,2))),"",INDIRECT("R9.Web!D"&amp;SUM(18,38*16,2))))</f>
        <v>N/T</v>
      </c>
      <c r="BA21" s="215" t="str" cm="1">
        <f t="array" aca="1" ref="BA21" ca="1">IF($B21="","",IF(ISBLANK(INDIRECT("R9.Web!D"&amp;SUM(18,38*17,2))),"",INDIRECT("R9.Web!D"&amp;SUM(18,38*17,2))))</f>
        <v>N/D</v>
      </c>
      <c r="BB21" s="215" t="str" cm="1">
        <f t="array" aca="1" ref="BB21" ca="1">IF($B21="","",IF(ISBLANK(INDIRECT("R9.Web!D"&amp;SUM(18,38*18,2))),"",INDIRECT("R9.Web!D"&amp;SUM(18,38*18,2))))</f>
        <v>N/T</v>
      </c>
      <c r="BC21" s="215" t="str" cm="1">
        <f t="array" aca="1" ref="BC21" ca="1">IF($B21="","",IF(ISBLANK(INDIRECT("R9.Web!D"&amp;SUM(18,38*19,2))),"",INDIRECT("R9.Web!D"&amp;SUM(18,38*19,2))))</f>
        <v>N/D</v>
      </c>
      <c r="BD21" s="215" t="str" cm="1">
        <f t="array" aca="1" ref="BD21" ca="1">IF($B21="","",IF(ISBLANK(INDIRECT("R9.Web!D"&amp;SUM(18,38*20,2))),"",INDIRECT("R9.Web!D"&amp;SUM(18,38*20,2))))</f>
        <v>N/T</v>
      </c>
      <c r="BE21" s="215" t="str" cm="1">
        <f t="array" aca="1" ref="BE21" ca="1">IF($B21="","",IF(ISBLANK(INDIRECT("R9.Web!D"&amp;SUM(18,38*21,2))),"",INDIRECT("R9.Web!D"&amp;SUM(18,38*21,2))))</f>
        <v>N/T</v>
      </c>
      <c r="BF21" s="215" t="str" cm="1">
        <f t="array" aca="1" ref="BF21" ca="1">IF($B21="","",IF(ISBLANK(INDIRECT("R9.Web!D"&amp;SUM(18,38*22,2))),"",INDIRECT("R9.Web!D"&amp;SUM(18,38*22,2))))</f>
        <v>N/D</v>
      </c>
      <c r="BG21" s="215" t="str" cm="1">
        <f t="array" aca="1" ref="BG21" ca="1">IF($B21="","",IF(ISBLANK(INDIRECT("R9.Web!D"&amp;SUM(18,38*23,2))),"",INDIRECT("R9.Web!D"&amp;SUM(18,38*23,2))))</f>
        <v>N/D</v>
      </c>
      <c r="BH21" s="215" t="str" cm="1">
        <f t="array" aca="1" ref="BH21" ca="1">IF($B21="","",IF(ISBLANK(INDIRECT("R9.Web!D"&amp;SUM(18,38*24,2))),"",INDIRECT("R9.Web!D"&amp;SUM(18,38*24,2))))</f>
        <v>N/T</v>
      </c>
      <c r="BI21" s="215" t="str" cm="1">
        <f t="array" aca="1" ref="BI21" ca="1">IF($B21="","",IF(ISBLANK(INDIRECT("R9.Web!D"&amp;SUM(18,38*25,2))),"",INDIRECT("R9.Web!D"&amp;SUM(18,38*25,2))))</f>
        <v>N/D</v>
      </c>
      <c r="BJ21" s="215" t="str" cm="1">
        <f t="array" aca="1" ref="BJ21" ca="1">IF($B21="","",IF(ISBLANK(INDIRECT("R9.Web!D"&amp;SUM(18,38*26,2))),"",INDIRECT("R9.Web!D"&amp;SUM(18,38*26,2))))</f>
        <v>N/D</v>
      </c>
      <c r="BK21" s="215" t="str" cm="1">
        <f t="array" aca="1" ref="BK21" ca="1">IF($B21="","",IF(ISBLANK(INDIRECT("R9.Web!D"&amp;SUM(18,38*27,2))),"",INDIRECT("R9.Web!D"&amp;SUM(18,38*27,2))))</f>
        <v>N/D</v>
      </c>
      <c r="BL21" s="215" t="str" cm="1">
        <f t="array" aca="1" ref="BL21" ca="1">IF($B21="","",IF(ISBLANK(INDIRECT("R9.Web!D"&amp;SUM(18,38*28,2))),"",INDIRECT("R9.Web!D"&amp;SUM(18,38*28,2))))</f>
        <v>N/D</v>
      </c>
      <c r="BM21" s="215" t="str" cm="1">
        <f t="array" aca="1" ref="BM21" ca="1">IF($B21="","",IF(ISBLANK(INDIRECT("R9.Web!D"&amp;SUM(18,38*29,2))),"",INDIRECT("R9.Web!D"&amp;SUM(18,38*29,2))))</f>
        <v>N/D</v>
      </c>
      <c r="BN21" s="215" t="str" cm="1">
        <f t="array" aca="1" ref="BN21" ca="1">IF($B21="","",IF(ISBLANK(INDIRECT("R9.Web!D"&amp;SUM(18,38*30,2))),"",INDIRECT("R9.Web!D"&amp;SUM(18,38*30,2))))</f>
        <v>N/T</v>
      </c>
      <c r="BO21" s="215" t="str" cm="1">
        <f t="array" aca="1" ref="BO21" ca="1">IF($B21="","",IF(ISBLANK(INDIRECT("R9.Web!D"&amp;SUM(18,38*31,2))),"",INDIRECT("R9.Web!D"&amp;SUM(18,38*31,2))))</f>
        <v>N/D</v>
      </c>
      <c r="BP21" s="215" t="str" cm="1">
        <f t="array" aca="1" ref="BP21" ca="1">IF($B21="","",IF(ISBLANK(INDIRECT("R9.Web!D"&amp;SUM(18,38*32,2))),"",INDIRECT("R9.Web!D"&amp;SUM(18,38*32,2))))</f>
        <v>N/T</v>
      </c>
      <c r="BQ21" s="215" t="str" cm="1">
        <f t="array" aca="1" ref="BQ21" ca="1">IF($B21="","",IF(ISBLANK(INDIRECT("R9.Web!D"&amp;SUM(18,38*33,2))),"",INDIRECT("R9.Web!D"&amp;SUM(18,38*33,2))))</f>
        <v>N/T</v>
      </c>
      <c r="BR21" s="215" t="str" cm="1">
        <f t="array" aca="1" ref="BR21" ca="1">IF($B21="","",IF(ISBLANK(INDIRECT("R9.Web!D"&amp;SUM(18,38*34,2))),"",INDIRECT("R9.Web!D"&amp;SUM(18,38*34,2))))</f>
        <v>N/D</v>
      </c>
      <c r="BS21" s="215" t="str" cm="1">
        <f t="array" aca="1" ref="BS21" ca="1">IF($B21="","",IF(ISBLANK(INDIRECT("R9.Web!D"&amp;SUM(18,38*35,2))),"",INDIRECT("R9.Web!D"&amp;SUM(18,38*35,2))))</f>
        <v>N/T</v>
      </c>
      <c r="BT21" s="215" t="str" cm="1">
        <f t="array" aca="1" ref="BT21" ca="1">IF($B21="","",IF(ISBLANK(INDIRECT("R9.Web!D"&amp;SUM(18,38*36,2))),"",INDIRECT("R9.Web!D"&amp;SUM(18,38*36,2))))</f>
        <v>N/D</v>
      </c>
      <c r="BU21" s="215" t="str" cm="1">
        <f t="array" aca="1" ref="BU21" ca="1">IF($B21="","",IF(ISBLANK(INDIRECT("R9.Web!D"&amp;SUM(18,38*37,2))),"",INDIRECT("R9.Web!D"&amp;SUM(18,38*37,2))))</f>
        <v>N/D</v>
      </c>
      <c r="BV21" s="215" t="str" cm="1">
        <f t="array" aca="1" ref="BV21" ca="1">IF($B21="","",IF(ISBLANK(INDIRECT("R9.Web!D"&amp;SUM(18,38*38,2))),"",INDIRECT("R9.Web!D"&amp;SUM(18,38*38,2))))</f>
        <v>N/D</v>
      </c>
      <c r="BW21" s="215" t="str" cm="1">
        <f t="array" aca="1" ref="BW21" ca="1">IF($B21="","",IF(ISBLANK(INDIRECT("R9.Web!D"&amp;SUM(18,38*39,2))),"",INDIRECT("R9.Web!D"&amp;SUM(18,38*39,2))))</f>
        <v>N/D</v>
      </c>
      <c r="BX21" s="215" t="str" cm="1">
        <f t="array" aca="1" ref="BX21" ca="1">IF($B21="","",IF(ISBLANK(INDIRECT("R9.Web!D"&amp;SUM(18,38*40,2))),"",INDIRECT("R9.Web!D"&amp;SUM(18,38*40,2))))</f>
        <v>N/D</v>
      </c>
      <c r="BY21" s="215" t="str" cm="1">
        <f t="array" aca="1" ref="BY21" ca="1">IF($B21="","",IF(ISBLANK(INDIRECT("R9.Web!D"&amp;SUM(18,38*41,2))),"",INDIRECT("R9.Web!D"&amp;SUM(18,38*41,2))))</f>
        <v>N/T</v>
      </c>
      <c r="BZ21" s="215" t="str" cm="1">
        <f t="array" aca="1" ref="BZ21" ca="1">IF($B21="","",IF(ISBLANK(INDIRECT("R9.Web!D"&amp;SUM(18,38*42,2))),"",INDIRECT("R9.Web!D"&amp;SUM(18,38*42,2))))</f>
        <v>N/T</v>
      </c>
      <c r="CA21" s="215" t="str" cm="1">
        <f t="array" aca="1" ref="CA21" ca="1">IF($B21="","",IF(ISBLANK(INDIRECT("R9.Web!D"&amp;SUM(18,38*43,2))),"",INDIRECT("R9.Web!D"&amp;SUM(18,38*43,2))))</f>
        <v>N/D</v>
      </c>
      <c r="CB21" s="215" t="str" cm="1">
        <f t="array" aca="1" ref="CB21" ca="1">IF($B21="","",IF(ISBLANK(INDIRECT("R9.Web!D"&amp;SUM(18,38*44,2))),"",INDIRECT("R9.Web!D"&amp;SUM(18,38*44,2))))</f>
        <v>N/T</v>
      </c>
      <c r="CC21" s="215" t="str" cm="1">
        <f t="array" aca="1" ref="CC21" ca="1">IF($B21="","",IF(ISBLANK(INDIRECT("R9.Web!D"&amp;SUM(18,38*45,2))),"",INDIRECT("R9.Web!D"&amp;SUM(18,38*45,2))))</f>
        <v>N/T</v>
      </c>
      <c r="CD21" s="215" t="str" cm="1">
        <f t="array" aca="1" ref="CD21" ca="1">IF($B21="","",IF(ISBLANK(INDIRECT("R9.Web!D"&amp;SUM(18,38*46,2))),"",INDIRECT("R9.Web!D"&amp;SUM(18,38*46,2))))</f>
        <v>N/T</v>
      </c>
      <c r="CE21" s="215" t="str" cm="1">
        <f t="array" aca="1" ref="CE21" ca="1">IF($B21="","",IF(ISBLANK(INDIRECT("R9.Web!D"&amp;SUM(18,38*47,2))),"",INDIRECT("R9.Web!D"&amp;SUM(18,38*47,2))))</f>
        <v>N/D</v>
      </c>
      <c r="CF21" s="215" t="str" cm="1">
        <f t="array" aca="1" ref="CF21" ca="1">IF($B21="","",IF(ISBLANK(INDIRECT("R9.Web!D"&amp;SUM(18,38*48,2))),"",INDIRECT("R9.Web!D"&amp;SUM(18,38*48,2))))</f>
        <v>N/T</v>
      </c>
      <c r="CG21" s="215" t="str" cm="1">
        <f t="array" aca="1" ref="CG21" ca="1">IF($B21="","",IF(ISBLANK(INDIRECT("R9.Web!D"&amp;SUM(18,38*49,2))),"",INDIRECT("R9.Web!D"&amp;SUM(18,38*49,2))))</f>
        <v>N/T</v>
      </c>
      <c r="CH21" s="215" t="str" cm="1">
        <f t="array" aca="1" ref="CH21" ca="1">IF($B21="","",IF(ISBLANK(INDIRECT("R11.Software!D"&amp;SUM(18,38*0,2))),"",INDIRECT("R11.Software!D"&amp;SUM(18,38*0,2))))</f>
        <v>N/T</v>
      </c>
      <c r="CI21" s="215" t="str" cm="1">
        <f t="array" aca="1" ref="CI21" ca="1">IF($B21="","",IF(ISBLANK(INDIRECT("R11.Software!D"&amp;SUM(18,38*1,2))),"",INDIRECT("R11.Software!D"&amp;SUM(18,38*1,2))))</f>
        <v>N/T</v>
      </c>
      <c r="CJ21" s="215" t="str" cm="1">
        <f t="array" aca="1" ref="CJ21" ca="1">IF($B21="","",IF(ISBLANK(INDIRECT("R11.Software!D"&amp;SUM(18,38*2,2))),"",INDIRECT("R11.Software!D"&amp;SUM(18,38*2,2))))</f>
        <v>N/T</v>
      </c>
      <c r="CK21" s="215" t="str" cm="1">
        <f t="array" aca="1" ref="CK21" ca="1">IF($B21="","",IF(ISBLANK(INDIRECT("R11.Software!D"&amp;SUM(18,38*3,2))),"",INDIRECT("R11.Software!D"&amp;SUM(18,38*3,2))))</f>
        <v>N/T</v>
      </c>
      <c r="CL21" s="215" t="str" cm="1">
        <f t="array" aca="1" ref="CL21" ca="1">IF($B21="","",IF(ISBLANK(INDIRECT("R11.Software!D"&amp;SUM(18,38*4,2))),"",INDIRECT("R11.Software!D"&amp;SUM(18,38*4,2))))</f>
        <v>N/T</v>
      </c>
      <c r="CM21" s="215" t="str" cm="1">
        <f t="array" aca="1" ref="CM21" ca="1">IF($B21="","",IF(ISBLANK(INDIRECT("R11.Software!D"&amp;SUM(18,38*5,2))),"",INDIRECT("R11.Software!D"&amp;SUM(18,38*5,2))))</f>
        <v>N/T</v>
      </c>
      <c r="CN21" s="215" t="str" cm="1">
        <f t="array" aca="1" ref="CN21" ca="1">IF($B21="","",IF(ISBLANK(INDIRECT("R12.ServiciosApoyo!D"&amp;SUM(18,38*0,2))),"",INDIRECT("R12.ServiciosApoyo!D"&amp;SUM(18,38*0,2))))</f>
        <v>N/T</v>
      </c>
      <c r="CO21" s="215" t="str" cm="1">
        <f t="array" aca="1" ref="CO21" ca="1">IF($B21="","",IF(ISBLANK(INDIRECT("R12.ServiciosApoyo!D"&amp;SUM(18,38*1,2))),"",INDIRECT("R12.ServiciosApoyo!D"&amp;SUM(18,38*1,2))))</f>
        <v>N/T</v>
      </c>
      <c r="CP21" s="215" t="str" cm="1">
        <f t="array" aca="1" ref="CP21" ca="1">IF($B21="","",IF(ISBLANK(INDIRECT("R12.ServiciosApoyo!D"&amp;SUM(18,38*2,2))),"",INDIRECT("R12.ServiciosApoyo!D"&amp;SUM(18,38*2,2))))</f>
        <v>N/T</v>
      </c>
      <c r="CQ21" s="215" t="str" cm="1">
        <f t="array" aca="1" ref="CQ21" ca="1">IF($B21="","",IF(ISBLANK(INDIRECT("R12.ServiciosApoyo!D"&amp;SUM(18,38*3,2))),"",INDIRECT("R12.ServiciosApoyo!D"&amp;SUM(18,38*3,2))))</f>
        <v>N/T</v>
      </c>
      <c r="CR21" s="215" t="str" cm="1">
        <f t="array" aca="1" ref="CR21" ca="1">IF($B21="","",IF(ISBLANK(INDIRECT("R12.ServiciosApoyo!D"&amp;SUM(18,38*4,2))),"",INDIRECT("R12.ServiciosApoyo!D"&amp;SUM(18,38*4,2))))</f>
        <v>N/T</v>
      </c>
      <c r="CU21" s="100"/>
      <c r="CV21" s="29"/>
      <c r="CW21" s="29"/>
      <c r="CX21" s="29"/>
    </row>
    <row r="22" spans="2:102" ht="20.25">
      <c r="B22" s="181" t="n" cm="1">
        <f t="array" ref="B22">IFERROR(INDEX('03.Muestra'!$B$8:$B$42,SMALL(IF("Página Web"='03.Muestra'!$D$8:$D$42,ROW('03.Muestra'!$B$8:$B$42)-MIN(ROW('03.Muestra'!$D$8:$D$42))+1,""),ROW()-19)),"")</f>
        <v>1.0</v>
      </c>
      <c r="C22" s="97" t="str" cm="1">
        <f t="array" ref="C22">IFERROR(INDEX('03.Muestra'!$C$8:$C$42,SMALL(IF("Página Web"='03.Muestra'!$D$8:$D$42,ROW('03.Muestra'!$C$8:$C$42)-MIN(ROW('03.Muestra'!$D$8:$D$42))+1,""),ROW()-19)),"")</f>
        <v>Home - PortCastelló</v>
      </c>
      <c r="D22" s="98" t="str" cm="1">
        <f t="array" ref="D22">IFERROR(INDEX('03.Muestra'!$F$8:$F$42,SMALL(IF("Página Web"='03.Muestra'!$D$8:$D$42,ROW('03.Muestra'!$F$8:$F$42)-MIN(ROW('03.Muestra'!$D$8:$D$42))+1,""),ROW()-19)),"")</f>
        <v>https://www.portcastello.com/</v>
      </c>
      <c r="E22" s="215" t="str" cm="1">
        <f t="array" aca="1" ref="E22" ca="1">IF($B22="","",IF(ISBLANK(INDIRECT("R5.Genéricos!D"&amp;SUM(18,38*0,3))),"",INDIRECT("R5.Genéricos!D"&amp;SUM(18,38*0,3))))</f>
        <v>N/T</v>
      </c>
      <c r="F22" s="215" t="str" cm="1">
        <f t="array" aca="1" ref="F22" ca="1">IF($B22="","",IF(ISBLANK(INDIRECT("R5.Genéricos!D"&amp;SUM(18,38*1,3))),"",INDIRECT("R5.Genéricos!D"&amp;SUM(18,38*1,3))))</f>
        <v>N/T</v>
      </c>
      <c r="G22" s="215" t="str" cm="1">
        <f t="array" aca="1" ref="G22" ca="1">IF($B22="","",IF(ISBLANK(INDIRECT("R5.Genéricos!D"&amp;SUM(18,38*2,3))),"",INDIRECT("R5.Genéricos!D"&amp;SUM(18,38*2,3))))</f>
        <v>N/T</v>
      </c>
      <c r="H22" s="215" t="str" cm="1">
        <f t="array" aca="1" ref="H22" ca="1">IF($B22="","",IF(ISBLANK(INDIRECT("R6.Voz!D"&amp;SUM(18,38*0,3))),"",INDIRECT("R6.Voz!D"&amp;SUM(18,38*0,3))))</f>
        <v>N/T</v>
      </c>
      <c r="I22" s="215" t="str" cm="1">
        <f t="array" aca="1" ref="I22" ca="1">IF($B22="","",IF(ISBLANK(INDIRECT("R6.Voz!D"&amp;SUM(18,38*1,3))),"",INDIRECT("R6.Voz!D"&amp;SUM(18,38*1,3))))</f>
        <v>N/T</v>
      </c>
      <c r="J22" s="215" t="str" cm="1">
        <f t="array" aca="1" ref="J22" ca="1">IF($B22="","",IF(ISBLANK(INDIRECT("R6.Voz!D"&amp;SUM(18,38*2,3))),"",INDIRECT("R6.Voz!D"&amp;SUM(18,38*2,3))))</f>
        <v>N/T</v>
      </c>
      <c r="K22" s="215" t="str" cm="1">
        <f t="array" aca="1" ref="K22" ca="1">IF($B22="","",IF(ISBLANK(INDIRECT("R6.Voz!D"&amp;SUM(18,38*3,3))),"",INDIRECT("R6.Voz!D"&amp;SUM(18,38*3,3))))</f>
        <v>N/T</v>
      </c>
      <c r="L22" s="215" t="str" cm="1">
        <f t="array" aca="1" ref="L22" ca="1">IF($B22="","",IF(ISBLANK(INDIRECT("R6.Voz!D"&amp;SUM(18,38*4,3))),"",INDIRECT("R6.Voz!D"&amp;SUM(18,38*4,3))))</f>
        <v>N/T</v>
      </c>
      <c r="M22" s="215" t="str" cm="1">
        <f t="array" aca="1" ref="M22" ca="1">IF($B22="","",IF(ISBLANK(INDIRECT("R6.Voz!D"&amp;SUM(18,38*5,3))),"",INDIRECT("R6.Voz!D"&amp;SUM(18,38*5,3))))</f>
        <v>N/T</v>
      </c>
      <c r="N22" s="215" t="str" cm="1">
        <f t="array" aca="1" ref="N22" ca="1">IF($B22="","",IF(ISBLANK(INDIRECT("R6.Voz!D"&amp;SUM(18,38*6,3))),"",INDIRECT("R6.Voz!D"&amp;SUM(18,38*6,3))))</f>
        <v>N/T</v>
      </c>
      <c r="O22" s="215" t="str" cm="1">
        <f t="array" aca="1" ref="O22" ca="1">IF($B22="","",IF(ISBLANK(INDIRECT("R6.Voz!D"&amp;SUM(18,38*7,3))),"",INDIRECT("R6.Voz!D"&amp;SUM(18,38*7,3))))</f>
        <v>N/T</v>
      </c>
      <c r="P22" s="215" t="str" cm="1">
        <f t="array" aca="1" ref="P22" ca="1">IF($B22="","",IF(ISBLANK(INDIRECT("R6.Voz!D"&amp;SUM(18,38*8,3))),"",INDIRECT("R6.Voz!D"&amp;SUM(18,38*8,3))))</f>
        <v>N/T</v>
      </c>
      <c r="Q22" s="215" t="str" cm="1">
        <f t="array" aca="1" ref="Q22" ca="1">IF($B22="","",IF(ISBLANK(INDIRECT("R6.Voz!D"&amp;SUM(18,38*9,3))),"",INDIRECT("R6.Voz!D"&amp;SUM(18,38*9,3))))</f>
        <v>N/T</v>
      </c>
      <c r="R22" s="215" t="str" cm="1">
        <f t="array" aca="1" ref="R22" ca="1">IF($B22="","",IF(ISBLANK(INDIRECT("R6.Voz!D"&amp;SUM(18,38*10,3))),"",INDIRECT("R6.Voz!D"&amp;SUM(18,38*10,3))))</f>
        <v>N/T</v>
      </c>
      <c r="S22" s="215" t="str" cm="1">
        <f t="array" aca="1" ref="S22" ca="1">IF($B22="","",IF(ISBLANK(INDIRECT("R6.Voz!D"&amp;SUM(18,38*11,3))),"",INDIRECT("R6.Voz!D"&amp;SUM(18,38*11,3))))</f>
        <v>N/T</v>
      </c>
      <c r="T22" s="215" t="str" cm="1">
        <f t="array" aca="1" ref="T22" ca="1">IF($B22="","",IF(ISBLANK(INDIRECT("R6.Voz!D"&amp;SUM(18,38*12,3))),"",INDIRECT("R6.Voz!D"&amp;SUM(18,38*12,3))))</f>
        <v>N/T</v>
      </c>
      <c r="U22" s="215" t="str" cm="1">
        <f t="array" aca="1" ref="U22" ca="1">IF($B22="","",IF(ISBLANK(INDIRECT("R6.Voz!D"&amp;SUM(18,38*13,3))),"",INDIRECT("R6.Voz!D"&amp;SUM(18,38*13,3))))</f>
        <v>N/T</v>
      </c>
      <c r="V22" s="215" t="str" cm="1">
        <f t="array" aca="1" ref="V22" ca="1">IF($B22="","",IF(ISBLANK(INDIRECT("R6.Voz!D"&amp;SUM(18,38*14,3))),"",INDIRECT("R6.Voz!D"&amp;SUM(18,38*14,3))))</f>
        <v>N/T</v>
      </c>
      <c r="W22" s="215" t="str" cm="1">
        <f t="array" aca="1" ref="W22" ca="1">IF($B22="","",IF(ISBLANK(INDIRECT("R6.Voz!D"&amp;SUM(18,38*15,3))),"",INDIRECT("R6.Voz!D"&amp;SUM(18,38*15,3))))</f>
        <v>N/T</v>
      </c>
      <c r="X22" s="215" t="str" cm="1">
        <f t="array" aca="1" ref="X22" ca="1">IF($B22="","",IF(ISBLANK(INDIRECT("R6.Voz!D"&amp;SUM(18,38*16,3))),"",INDIRECT("R6.Voz!D"&amp;SUM(18,38*16,3))))</f>
        <v>N/T</v>
      </c>
      <c r="Y22" s="215" t="str" cm="1">
        <f t="array" aca="1" ref="Y22" ca="1">IF($B22="","",IF(ISBLANK(INDIRECT("R6.Voz!D"&amp;SUM(18,38*17,3))),"",INDIRECT("R6.Voz!D"&amp;SUM(18,38*17,3))))</f>
        <v>N/T</v>
      </c>
      <c r="Z22" s="215" t="str" cm="1">
        <f t="array" aca="1" ref="Z22" ca="1">IF($B22="","",IF(ISBLANK(INDIRECT("R6.Voz!D"&amp;SUM(18,38*18,3))),"",INDIRECT("R6.Voz!D"&amp;SUM(18,38*18,3))))</f>
        <v>N/T</v>
      </c>
      <c r="AA22" s="215" t="str" cm="1">
        <f t="array" aca="1" ref="AA22" ca="1">IF($B22="","",IF(ISBLANK(INDIRECT("R7.Video!D"&amp;SUM(18,38*0,3))),"",INDIRECT("R7.Video!D"&amp;SUM(18,38*0,3))))</f>
        <v>N/T</v>
      </c>
      <c r="AB22" s="215" t="str" cm="1">
        <f t="array" aca="1" ref="AB22" ca="1">IF($B22="","",IF(ISBLANK(INDIRECT("R7.Video!D"&amp;SUM(18,38*1,3))),"",INDIRECT("R7.Video!D"&amp;SUM(18,38*1,3))))</f>
        <v>N/T</v>
      </c>
      <c r="AC22" s="215" t="str" cm="1">
        <f t="array" aca="1" ref="AC22" ca="1">IF($B22="","",IF(ISBLANK(INDIRECT("R7.Video!D"&amp;SUM(18,38*2,3))),"",INDIRECT("R7.Video!D"&amp;SUM(18,38*2,3))))</f>
        <v>N/T</v>
      </c>
      <c r="AD22" s="215" t="str" cm="1">
        <f t="array" aca="1" ref="AD22" ca="1">IF($B22="","",IF(ISBLANK(INDIRECT("R7.Video!D"&amp;SUM(18,38*3,3))),"",INDIRECT("R7.Video!D"&amp;SUM(18,38*3,3))))</f>
        <v>N/T</v>
      </c>
      <c r="AE22" s="215" t="str" cm="1">
        <f t="array" aca="1" ref="AE22" ca="1">IF($B22="","",IF(ISBLANK(INDIRECT("R7.Video!D"&amp;SUM(18,38*4,3))),"",INDIRECT("R7.Video!D"&amp;SUM(18,38*4,3))))</f>
        <v>N/T</v>
      </c>
      <c r="AF22" s="215" t="str" cm="1">
        <f t="array" aca="1" ref="AF22" ca="1">IF($B22="","",IF(ISBLANK(INDIRECT("R7.Video!D"&amp;SUM(18,38*5,3))),"",INDIRECT("R7.Video!D"&amp;SUM(18,38*5,3))))</f>
        <v>N/T</v>
      </c>
      <c r="AG22" s="215" t="str" cm="1">
        <f t="array" aca="1" ref="AG22" ca="1">IF($B22="","",IF(ISBLANK(INDIRECT("R7.Video!D"&amp;SUM(18,38*6,3))),"",INDIRECT("R7.Video!D"&amp;SUM(18,38*6,3))))</f>
        <v>N/T</v>
      </c>
      <c r="AH22" s="215" t="str" cm="1">
        <f t="array" aca="1" ref="AH22" ca="1">IF($B22="","",IF(ISBLANK(INDIRECT("R7.Video!D"&amp;SUM(18,38*7,3))),"",INDIRECT("R7.Video!D"&amp;SUM(18,38*7,3))))</f>
        <v>N/T</v>
      </c>
      <c r="AI22" s="215" t="str" cm="1">
        <f t="array" aca="1" ref="AI22" ca="1">IF($B22="","",IF(ISBLANK(INDIRECT("R7.Video!D"&amp;SUM(18,38*8,3))),"",INDIRECT("R7.Video!D"&amp;SUM(18,38*8,3))))</f>
        <v>N/T</v>
      </c>
      <c r="AJ22" s="215" t="str" cm="1">
        <f t="array" aca="1" ref="AJ22" ca="1">IF($B22="","",IF(ISBLANK(INDIRECT("R9.Web!D"&amp;SUM(18,38*0,3))),"",INDIRECT("R9.Web!D"&amp;SUM(18,38*0,3))))</f>
        <v>N/D</v>
      </c>
      <c r="AK22" s="215" t="str" cm="1">
        <f t="array" aca="1" ref="AK22" ca="1">IF($B22="","",IF(ISBLANK(INDIRECT("R9.Web!D"&amp;SUM(18,38*1,3))),"",INDIRECT("R9.Web!D"&amp;SUM(18,38*1,3))))</f>
        <v>N/T</v>
      </c>
      <c r="AL22" s="215" t="str" cm="1">
        <f t="array" aca="1" ref="AL22" ca="1">IF($B22="","",IF(ISBLANK(INDIRECT("R9.Web!D"&amp;SUM(18,38*2,3))),"",INDIRECT("R9.Web!D"&amp;SUM(18,38*2,3))))</f>
        <v>N/T</v>
      </c>
      <c r="AM22" s="215" t="str" cm="1">
        <f t="array" aca="1" ref="AM22" ca="1">IF($B22="","",IF(ISBLANK(INDIRECT("R9.Web!D"&amp;SUM(18,38*3,3))),"",INDIRECT("R9.Web!D"&amp;SUM(18,38*3,3))))</f>
        <v>N/T</v>
      </c>
      <c r="AN22" s="215" t="str" cm="1">
        <f t="array" aca="1" ref="AN22" ca="1">IF($B22="","",IF(ISBLANK(INDIRECT("R9.Web!D"&amp;SUM(18,38*4,3))),"",INDIRECT("R9.Web!D"&amp;SUM(18,38*4,3))))</f>
        <v>N/T</v>
      </c>
      <c r="AO22" s="215" t="str" cm="1">
        <f t="array" aca="1" ref="AO22" ca="1">IF($B22="","",IF(ISBLANK(INDIRECT("R9.Web!D"&amp;SUM(18,38*5,3))),"",INDIRECT("R9.Web!D"&amp;SUM(18,38*5,3))))</f>
        <v>N/D</v>
      </c>
      <c r="AP22" s="215" t="str" cm="1">
        <f t="array" aca="1" ref="AP22" ca="1">IF($B22="","",IF(ISBLANK(INDIRECT("R9.Web!D"&amp;SUM(18,38*6,3))),"",INDIRECT("R9.Web!D"&amp;SUM(18,38*6,3))))</f>
        <v>N/T</v>
      </c>
      <c r="AQ22" s="215" t="str" cm="1">
        <f t="array" aca="1" ref="AQ22" ca="1">IF($B22="","",IF(ISBLANK(INDIRECT("R9.Web!D"&amp;SUM(18,38*7,3))),"",INDIRECT("R9.Web!D"&amp;SUM(18,38*7,3))))</f>
        <v>N/T</v>
      </c>
      <c r="AR22" s="215" t="str" cm="1">
        <f t="array" aca="1" ref="AR22" ca="1">IF($B22="","",IF(ISBLANK(INDIRECT("R9.Web!D"&amp;SUM(18,38*8,3))),"",INDIRECT("R9.Web!D"&amp;SUM(18,38*8,3))))</f>
        <v>N/D</v>
      </c>
      <c r="AS22" s="215" t="str" cm="1">
        <f t="array" aca="1" ref="AS22" ca="1">IF($B22="","",IF(ISBLANK(INDIRECT("R9.Web!D"&amp;SUM(18,38*9,3))),"",INDIRECT("R9.Web!D"&amp;SUM(18,38*9,3))))</f>
        <v>N/D</v>
      </c>
      <c r="AT22" s="215" t="str" cm="1">
        <f t="array" aca="1" ref="AT22" ca="1">IF($B22="","",IF(ISBLANK(INDIRECT("R9.Web!D"&amp;SUM(18,38*10,3))),"",INDIRECT("R9.Web!D"&amp;SUM(18,38*10,3))))</f>
        <v>N/T</v>
      </c>
      <c r="AU22" s="215" t="str" cm="1">
        <f t="array" aca="1" ref="AU22" ca="1">IF($B22="","",IF(ISBLANK(INDIRECT("R9.Web!D"&amp;SUM(18,38*11,3))),"",INDIRECT("R9.Web!D"&amp;SUM(18,38*11,3))))</f>
        <v>N/T</v>
      </c>
      <c r="AV22" s="215" t="str" cm="1">
        <f t="array" aca="1" ref="AV22" ca="1">IF($B22="","",IF(ISBLANK(INDIRECT("R9.Web!D"&amp;SUM(18,38*12,3))),"",INDIRECT("R9.Web!D"&amp;SUM(18,38*12,3))))</f>
        <v>N/D</v>
      </c>
      <c r="AW22" s="215" t="str" cm="1">
        <f t="array" aca="1" ref="AW22" ca="1">IF($B22="","",IF(ISBLANK(INDIRECT("R9.Web!D"&amp;SUM(18,38*13,3))),"",INDIRECT("R9.Web!D"&amp;SUM(18,38*13,3))))</f>
        <v>N/T</v>
      </c>
      <c r="AX22" s="215" t="str" cm="1">
        <f t="array" aca="1" ref="AX22" ca="1">IF($B22="","",IF(ISBLANK(INDIRECT("R9.Web!D"&amp;SUM(18,38*14,3))),"",INDIRECT("R9.Web!D"&amp;SUM(18,38*14,3))))</f>
        <v>N/T</v>
      </c>
      <c r="AY22" s="215" t="str" cm="1">
        <f t="array" aca="1" ref="AY22" ca="1">IF($B22="","",IF(ISBLANK(INDIRECT("R9.Web!D"&amp;SUM(18,38*15,3))),"",INDIRECT("R9.Web!D"&amp;SUM(18,38*15,3))))</f>
        <v>N/D</v>
      </c>
      <c r="AZ22" s="215" t="str" cm="1">
        <f t="array" aca="1" ref="AZ22" ca="1">IF($B22="","",IF(ISBLANK(INDIRECT("R9.Web!D"&amp;SUM(18,38*16,3))),"",INDIRECT("R9.Web!D"&amp;SUM(18,38*16,3))))</f>
        <v>N/T</v>
      </c>
      <c r="BA22" s="215" t="str" cm="1">
        <f t="array" aca="1" ref="BA22" ca="1">IF($B22="","",IF(ISBLANK(INDIRECT("R9.Web!D"&amp;SUM(18,38*17,3))),"",INDIRECT("R9.Web!D"&amp;SUM(18,38*17,3))))</f>
        <v>N/D</v>
      </c>
      <c r="BB22" s="215" t="str" cm="1">
        <f t="array" aca="1" ref="BB22" ca="1">IF($B22="","",IF(ISBLANK(INDIRECT("R9.Web!D"&amp;SUM(18,38*18,3))),"",INDIRECT("R9.Web!D"&amp;SUM(18,38*18,3))))</f>
        <v>N/T</v>
      </c>
      <c r="BC22" s="215" t="str" cm="1">
        <f t="array" aca="1" ref="BC22" ca="1">IF($B22="","",IF(ISBLANK(INDIRECT("R9.Web!D"&amp;SUM(18,38*19,3))),"",INDIRECT("R9.Web!D"&amp;SUM(18,38*19,3))))</f>
        <v>N/D</v>
      </c>
      <c r="BD22" s="215" t="str" cm="1">
        <f t="array" aca="1" ref="BD22" ca="1">IF($B22="","",IF(ISBLANK(INDIRECT("R9.Web!D"&amp;SUM(18,38*20,3))),"",INDIRECT("R9.Web!D"&amp;SUM(18,38*20,3))))</f>
        <v>N/T</v>
      </c>
      <c r="BE22" s="215" t="str" cm="1">
        <f t="array" aca="1" ref="BE22" ca="1">IF($B22="","",IF(ISBLANK(INDIRECT("R9.Web!D"&amp;SUM(18,38*21,3))),"",INDIRECT("R9.Web!D"&amp;SUM(18,38*21,3))))</f>
        <v>N/T</v>
      </c>
      <c r="BF22" s="215" t="str" cm="1">
        <f t="array" aca="1" ref="BF22" ca="1">IF($B22="","",IF(ISBLANK(INDIRECT("R9.Web!D"&amp;SUM(18,38*22,3))),"",INDIRECT("R9.Web!D"&amp;SUM(18,38*22,3))))</f>
        <v>N/D</v>
      </c>
      <c r="BG22" s="215" t="str" cm="1">
        <f t="array" aca="1" ref="BG22" ca="1">IF($B22="","",IF(ISBLANK(INDIRECT("R9.Web!D"&amp;SUM(18,38*23,3))),"",INDIRECT("R9.Web!D"&amp;SUM(18,38*23,3))))</f>
        <v>N/D</v>
      </c>
      <c r="BH22" s="215" t="str" cm="1">
        <f t="array" aca="1" ref="BH22" ca="1">IF($B22="","",IF(ISBLANK(INDIRECT("R9.Web!D"&amp;SUM(18,38*24,3))),"",INDIRECT("R9.Web!D"&amp;SUM(18,38*24,3))))</f>
        <v>N/T</v>
      </c>
      <c r="BI22" s="215" t="str" cm="1">
        <f t="array" aca="1" ref="BI22" ca="1">IF($B22="","",IF(ISBLANK(INDIRECT("R9.Web!D"&amp;SUM(18,38*25,3))),"",INDIRECT("R9.Web!D"&amp;SUM(18,38*25,3))))</f>
        <v>N/D</v>
      </c>
      <c r="BJ22" s="215" t="str" cm="1">
        <f t="array" aca="1" ref="BJ22" ca="1">IF($B22="","",IF(ISBLANK(INDIRECT("R9.Web!D"&amp;SUM(18,38*26,3))),"",INDIRECT("R9.Web!D"&amp;SUM(18,38*26,3))))</f>
        <v>N/D</v>
      </c>
      <c r="BK22" s="215" t="str" cm="1">
        <f t="array" aca="1" ref="BK22" ca="1">IF($B22="","",IF(ISBLANK(INDIRECT("R9.Web!D"&amp;SUM(18,38*27,3))),"",INDIRECT("R9.Web!D"&amp;SUM(18,38*27,3))))</f>
        <v>N/D</v>
      </c>
      <c r="BL22" s="215" t="str" cm="1">
        <f t="array" aca="1" ref="BL22" ca="1">IF($B22="","",IF(ISBLANK(INDIRECT("R9.Web!D"&amp;SUM(18,38*28,3))),"",INDIRECT("R9.Web!D"&amp;SUM(18,38*28,3))))</f>
        <v>N/D</v>
      </c>
      <c r="BM22" s="215" t="str" cm="1">
        <f t="array" aca="1" ref="BM22" ca="1">IF($B22="","",IF(ISBLANK(INDIRECT("R9.Web!D"&amp;SUM(18,38*29,3))),"",INDIRECT("R9.Web!D"&amp;SUM(18,38*29,3))))</f>
        <v>N/D</v>
      </c>
      <c r="BN22" s="215" t="str" cm="1">
        <f t="array" aca="1" ref="BN22" ca="1">IF($B22="","",IF(ISBLANK(INDIRECT("R9.Web!D"&amp;SUM(18,38*30,3))),"",INDIRECT("R9.Web!D"&amp;SUM(18,38*30,3))))</f>
        <v>N/T</v>
      </c>
      <c r="BO22" s="215" t="str" cm="1">
        <f t="array" aca="1" ref="BO22" ca="1">IF($B22="","",IF(ISBLANK(INDIRECT("R9.Web!D"&amp;SUM(18,38*31,3))),"",INDIRECT("R9.Web!D"&amp;SUM(18,38*31,3))))</f>
        <v>N/D</v>
      </c>
      <c r="BP22" s="215" t="str" cm="1">
        <f t="array" aca="1" ref="BP22" ca="1">IF($B22="","",IF(ISBLANK(INDIRECT("R9.Web!D"&amp;SUM(18,38*32,3))),"",INDIRECT("R9.Web!D"&amp;SUM(18,38*32,3))))</f>
        <v>N/T</v>
      </c>
      <c r="BQ22" s="215" t="str" cm="1">
        <f t="array" aca="1" ref="BQ22" ca="1">IF($B22="","",IF(ISBLANK(INDIRECT("R9.Web!D"&amp;SUM(18,38*33,3))),"",INDIRECT("R9.Web!D"&amp;SUM(18,38*33,3))))</f>
        <v>N/T</v>
      </c>
      <c r="BR22" s="215" t="str" cm="1">
        <f t="array" aca="1" ref="BR22" ca="1">IF($B22="","",IF(ISBLANK(INDIRECT("R9.Web!D"&amp;SUM(18,38*34,3))),"",INDIRECT("R9.Web!D"&amp;SUM(18,38*34,3))))</f>
        <v>N/D</v>
      </c>
      <c r="BS22" s="215" t="str" cm="1">
        <f t="array" aca="1" ref="BS22" ca="1">IF($B22="","",IF(ISBLANK(INDIRECT("R9.Web!D"&amp;SUM(18,38*35,3))),"",INDIRECT("R9.Web!D"&amp;SUM(18,38*35,3))))</f>
        <v>N/T</v>
      </c>
      <c r="BT22" s="215" t="str" cm="1">
        <f t="array" aca="1" ref="BT22" ca="1">IF($B22="","",IF(ISBLANK(INDIRECT("R9.Web!D"&amp;SUM(18,38*36,3))),"",INDIRECT("R9.Web!D"&amp;SUM(18,38*36,3))))</f>
        <v>N/D</v>
      </c>
      <c r="BU22" s="215" t="str" cm="1">
        <f t="array" aca="1" ref="BU22" ca="1">IF($B22="","",IF(ISBLANK(INDIRECT("R9.Web!D"&amp;SUM(18,38*37,3))),"",INDIRECT("R9.Web!D"&amp;SUM(18,38*37,3))))</f>
        <v>N/D</v>
      </c>
      <c r="BV22" s="215" t="str" cm="1">
        <f t="array" aca="1" ref="BV22" ca="1">IF($B22="","",IF(ISBLANK(INDIRECT("R9.Web!D"&amp;SUM(18,38*38,3))),"",INDIRECT("R9.Web!D"&amp;SUM(18,38*38,3))))</f>
        <v>N/D</v>
      </c>
      <c r="BW22" s="215" t="str" cm="1">
        <f t="array" aca="1" ref="BW22" ca="1">IF($B22="","",IF(ISBLANK(INDIRECT("R9.Web!D"&amp;SUM(18,38*39,3))),"",INDIRECT("R9.Web!D"&amp;SUM(18,38*39,3))))</f>
        <v>N/D</v>
      </c>
      <c r="BX22" s="215" t="str" cm="1">
        <f t="array" aca="1" ref="BX22" ca="1">IF($B22="","",IF(ISBLANK(INDIRECT("R9.Web!D"&amp;SUM(18,38*40,3))),"",INDIRECT("R9.Web!D"&amp;SUM(18,38*40,3))))</f>
        <v>N/D</v>
      </c>
      <c r="BY22" s="215" t="str" cm="1">
        <f t="array" aca="1" ref="BY22" ca="1">IF($B22="","",IF(ISBLANK(INDIRECT("R9.Web!D"&amp;SUM(18,38*41,3))),"",INDIRECT("R9.Web!D"&amp;SUM(18,38*41,3))))</f>
        <v>N/T</v>
      </c>
      <c r="BZ22" s="215" t="str" cm="1">
        <f t="array" aca="1" ref="BZ22" ca="1">IF($B22="","",IF(ISBLANK(INDIRECT("R9.Web!D"&amp;SUM(18,38*42,3))),"",INDIRECT("R9.Web!D"&amp;SUM(18,38*42,3))))</f>
        <v>N/T</v>
      </c>
      <c r="CA22" s="215" t="str" cm="1">
        <f t="array" aca="1" ref="CA22" ca="1">IF($B22="","",IF(ISBLANK(INDIRECT("R9.Web!D"&amp;SUM(18,38*43,3))),"",INDIRECT("R9.Web!D"&amp;SUM(18,38*43,3))))</f>
        <v>N/D</v>
      </c>
      <c r="CB22" s="215" t="str" cm="1">
        <f t="array" aca="1" ref="CB22" ca="1">IF($B22="","",IF(ISBLANK(INDIRECT("R9.Web!D"&amp;SUM(18,38*44,3))),"",INDIRECT("R9.Web!D"&amp;SUM(18,38*44,3))))</f>
        <v>N/T</v>
      </c>
      <c r="CC22" s="215" t="str" cm="1">
        <f t="array" aca="1" ref="CC22" ca="1">IF($B22="","",IF(ISBLANK(INDIRECT("R9.Web!D"&amp;SUM(18,38*45,3))),"",INDIRECT("R9.Web!D"&amp;SUM(18,38*45,3))))</f>
        <v>N/T</v>
      </c>
      <c r="CD22" s="215" t="str" cm="1">
        <f t="array" aca="1" ref="CD22" ca="1">IF($B22="","",IF(ISBLANK(INDIRECT("R9.Web!D"&amp;SUM(18,38*46,3))),"",INDIRECT("R9.Web!D"&amp;SUM(18,38*46,3))))</f>
        <v>N/T</v>
      </c>
      <c r="CE22" s="215" t="str" cm="1">
        <f t="array" aca="1" ref="CE22" ca="1">IF($B22="","",IF(ISBLANK(INDIRECT("R9.Web!D"&amp;SUM(18,38*47,3))),"",INDIRECT("R9.Web!D"&amp;SUM(18,38*47,3))))</f>
        <v>N/D</v>
      </c>
      <c r="CF22" s="215" t="str" cm="1">
        <f t="array" aca="1" ref="CF22" ca="1">IF($B22="","",IF(ISBLANK(INDIRECT("R9.Web!D"&amp;SUM(18,38*48,3))),"",INDIRECT("R9.Web!D"&amp;SUM(18,38*48,3))))</f>
        <v>N/T</v>
      </c>
      <c r="CG22" s="215" t="str" cm="1">
        <f t="array" aca="1" ref="CG22" ca="1">IF($B22="","",IF(ISBLANK(INDIRECT("R9.Web!D"&amp;SUM(18,38*49,3))),"",INDIRECT("R9.Web!D"&amp;SUM(18,38*49,3))))</f>
        <v>N/T</v>
      </c>
      <c r="CH22" s="215" t="str" cm="1">
        <f t="array" aca="1" ref="CH22" ca="1">IF($B22="","",IF(ISBLANK(INDIRECT("R11.Software!D"&amp;SUM(18,38*0,3))),"",INDIRECT("R11.Software!D"&amp;SUM(18,38*0,3))))</f>
        <v>N/T</v>
      </c>
      <c r="CI22" s="215" t="str" cm="1">
        <f t="array" aca="1" ref="CI22" ca="1">IF($B22="","",IF(ISBLANK(INDIRECT("R11.Software!D"&amp;SUM(18,38*1,3))),"",INDIRECT("R11.Software!D"&amp;SUM(18,38*1,3))))</f>
        <v>N/T</v>
      </c>
      <c r="CJ22" s="215" t="str" cm="1">
        <f t="array" aca="1" ref="CJ22" ca="1">IF($B22="","",IF(ISBLANK(INDIRECT("R11.Software!D"&amp;SUM(18,38*2,3))),"",INDIRECT("R11.Software!D"&amp;SUM(18,38*2,3))))</f>
        <v>N/T</v>
      </c>
      <c r="CK22" s="215" t="str" cm="1">
        <f t="array" aca="1" ref="CK22" ca="1">IF($B22="","",IF(ISBLANK(INDIRECT("R11.Software!D"&amp;SUM(18,38*3,3))),"",INDIRECT("R11.Software!D"&amp;SUM(18,38*3,3))))</f>
        <v>N/T</v>
      </c>
      <c r="CL22" s="215" t="str" cm="1">
        <f t="array" aca="1" ref="CL22" ca="1">IF($B22="","",IF(ISBLANK(INDIRECT("R11.Software!D"&amp;SUM(18,38*4,3))),"",INDIRECT("R11.Software!D"&amp;SUM(18,38*4,3))))</f>
        <v>N/T</v>
      </c>
      <c r="CM22" s="215" t="str" cm="1">
        <f t="array" aca="1" ref="CM22" ca="1">IF($B22="","",IF(ISBLANK(INDIRECT("R11.Software!D"&amp;SUM(18,38*5,3))),"",INDIRECT("R11.Software!D"&amp;SUM(18,38*5,3))))</f>
        <v>N/T</v>
      </c>
      <c r="CN22" s="215" t="str" cm="1">
        <f t="array" aca="1" ref="CN22" ca="1">IF($B22="","",IF(ISBLANK(INDIRECT("R12.ServiciosApoyo!D"&amp;SUM(18,38*0,3))),"",INDIRECT("R12.ServiciosApoyo!D"&amp;SUM(18,38*0,3))))</f>
        <v>N/T</v>
      </c>
      <c r="CO22" s="215" t="str" cm="1">
        <f t="array" aca="1" ref="CO22" ca="1">IF($B22="","",IF(ISBLANK(INDIRECT("R12.ServiciosApoyo!D"&amp;SUM(18,38*1,3))),"",INDIRECT("R12.ServiciosApoyo!D"&amp;SUM(18,38*1,3))))</f>
        <v>N/T</v>
      </c>
      <c r="CP22" s="215" t="str" cm="1">
        <f t="array" aca="1" ref="CP22" ca="1">IF($B22="","",IF(ISBLANK(INDIRECT("R12.ServiciosApoyo!D"&amp;SUM(18,38*2,3))),"",INDIRECT("R12.ServiciosApoyo!D"&amp;SUM(18,38*2,3))))</f>
        <v>N/T</v>
      </c>
      <c r="CQ22" s="215" t="str" cm="1">
        <f t="array" aca="1" ref="CQ22" ca="1">IF($B22="","",IF(ISBLANK(INDIRECT("R12.ServiciosApoyo!D"&amp;SUM(18,38*3,3))),"",INDIRECT("R12.ServiciosApoyo!D"&amp;SUM(18,38*3,3))))</f>
        <v>N/T</v>
      </c>
      <c r="CR22" s="215" t="str" cm="1">
        <f t="array" aca="1" ref="CR22" ca="1">IF($B22="","",IF(ISBLANK(INDIRECT("R12.ServiciosApoyo!D"&amp;SUM(18,38*4,3))),"",INDIRECT("R12.ServiciosApoyo!D"&amp;SUM(18,38*4,3))))</f>
        <v>N/T</v>
      </c>
      <c r="CU22" s="100"/>
      <c r="CV22" s="29"/>
      <c r="CW22" s="29"/>
      <c r="CX22" s="29"/>
    </row>
    <row r="23" spans="2:102" ht="20.25">
      <c r="B23" s="181" t="n" cm="1">
        <f t="array" ref="B23">IFERROR(INDEX('03.Muestra'!$B$8:$B$42,SMALL(IF("Página Web"='03.Muestra'!$D$8:$D$42,ROW('03.Muestra'!$B$8:$B$42)-MIN(ROW('03.Muestra'!$D$8:$D$42))+1,""),ROW()-19)),"")</f>
        <v>1.0</v>
      </c>
      <c r="C23" s="97" t="str" cm="1">
        <f t="array" ref="C23">IFERROR(INDEX('03.Muestra'!$C$8:$C$42,SMALL(IF("Página Web"='03.Muestra'!$D$8:$D$42,ROW('03.Muestra'!$C$8:$C$42)-MIN(ROW('03.Muestra'!$D$8:$D$42))+1,""),ROW()-19)),"")</f>
        <v>Home - PortCastelló</v>
      </c>
      <c r="D23" s="98" t="str" cm="1">
        <f t="array" ref="D23">IFERROR(INDEX('03.Muestra'!$F$8:$F$42,SMALL(IF("Página Web"='03.Muestra'!$D$8:$D$42,ROW('03.Muestra'!$F$8:$F$42)-MIN(ROW('03.Muestra'!$D$8:$D$42))+1,""),ROW()-19)),"")</f>
        <v>https://www.portcastello.com/</v>
      </c>
      <c r="E23" s="215" t="str" cm="1">
        <f t="array" aca="1" ref="E23" ca="1">IF($B23="","",IF(ISBLANK(INDIRECT("R5.Genéricos!D"&amp;SUM(18,38*0,4))),"",INDIRECT("R5.Genéricos!D"&amp;SUM(18,38*0,4))))</f>
        <v>N/T</v>
      </c>
      <c r="F23" s="215" t="str" cm="1">
        <f t="array" aca="1" ref="F23" ca="1">IF($B23="","",IF(ISBLANK(INDIRECT("R5.Genéricos!D"&amp;SUM(18,38*1,4))),"",INDIRECT("R5.Genéricos!D"&amp;SUM(18,38*1,4))))</f>
        <v>N/T</v>
      </c>
      <c r="G23" s="215" t="str" cm="1">
        <f t="array" aca="1" ref="G23" ca="1">IF($B23="","",IF(ISBLANK(INDIRECT("R5.Genéricos!D"&amp;SUM(18,38*2,4))),"",INDIRECT("R5.Genéricos!D"&amp;SUM(18,38*2,4))))</f>
        <v>N/T</v>
      </c>
      <c r="H23" s="215" t="str" cm="1">
        <f t="array" aca="1" ref="H23" ca="1">IF($B23="","",IF(ISBLANK(INDIRECT("R6.Voz!D"&amp;SUM(18,38*0,4))),"",INDIRECT("R6.Voz!D"&amp;SUM(18,38*0,4))))</f>
        <v>N/T</v>
      </c>
      <c r="I23" s="215" t="str" cm="1">
        <f t="array" aca="1" ref="I23" ca="1">IF($B23="","",IF(ISBLANK(INDIRECT("R6.Voz!D"&amp;SUM(18,38*1,4))),"",INDIRECT("R6.Voz!D"&amp;SUM(18,38*1,4))))</f>
        <v>N/T</v>
      </c>
      <c r="J23" s="215" t="str" cm="1">
        <f t="array" aca="1" ref="J23" ca="1">IF($B23="","",IF(ISBLANK(INDIRECT("R6.Voz!D"&amp;SUM(18,38*2,4))),"",INDIRECT("R6.Voz!D"&amp;SUM(18,38*2,4))))</f>
        <v>N/T</v>
      </c>
      <c r="K23" s="215" t="str" cm="1">
        <f t="array" aca="1" ref="K23" ca="1">IF($B23="","",IF(ISBLANK(INDIRECT("R6.Voz!D"&amp;SUM(18,38*3,4))),"",INDIRECT("R6.Voz!D"&amp;SUM(18,38*3,4))))</f>
        <v>N/T</v>
      </c>
      <c r="L23" s="215" t="str" cm="1">
        <f t="array" aca="1" ref="L23" ca="1">IF($B23="","",IF(ISBLANK(INDIRECT("R6.Voz!D"&amp;SUM(18,38*4,4))),"",INDIRECT("R6.Voz!D"&amp;SUM(18,38*4,4))))</f>
        <v>N/T</v>
      </c>
      <c r="M23" s="215" t="str" cm="1">
        <f t="array" aca="1" ref="M23" ca="1">IF($B23="","",IF(ISBLANK(INDIRECT("R6.Voz!D"&amp;SUM(18,38*5,4))),"",INDIRECT("R6.Voz!D"&amp;SUM(18,38*5,4))))</f>
        <v>N/T</v>
      </c>
      <c r="N23" s="215" t="str" cm="1">
        <f t="array" aca="1" ref="N23" ca="1">IF($B23="","",IF(ISBLANK(INDIRECT("R6.Voz!D"&amp;SUM(18,38*6,4))),"",INDIRECT("R6.Voz!D"&amp;SUM(18,38*6,4))))</f>
        <v>N/T</v>
      </c>
      <c r="O23" s="215" t="str" cm="1">
        <f t="array" aca="1" ref="O23" ca="1">IF($B23="","",IF(ISBLANK(INDIRECT("R6.Voz!D"&amp;SUM(18,38*7,4))),"",INDIRECT("R6.Voz!D"&amp;SUM(18,38*7,4))))</f>
        <v>N/T</v>
      </c>
      <c r="P23" s="215" t="str" cm="1">
        <f t="array" aca="1" ref="P23" ca="1">IF($B23="","",IF(ISBLANK(INDIRECT("R6.Voz!D"&amp;SUM(18,38*8,4))),"",INDIRECT("R6.Voz!D"&amp;SUM(18,38*8,4))))</f>
        <v>N/T</v>
      </c>
      <c r="Q23" s="215" t="str" cm="1">
        <f t="array" aca="1" ref="Q23" ca="1">IF($B23="","",IF(ISBLANK(INDIRECT("R6.Voz!D"&amp;SUM(18,38*9,4))),"",INDIRECT("R6.Voz!D"&amp;SUM(18,38*9,4))))</f>
        <v>N/T</v>
      </c>
      <c r="R23" s="215" t="str" cm="1">
        <f t="array" aca="1" ref="R23" ca="1">IF($B23="","",IF(ISBLANK(INDIRECT("R6.Voz!D"&amp;SUM(18,38*10,4))),"",INDIRECT("R6.Voz!D"&amp;SUM(18,38*10,4))))</f>
        <v>N/T</v>
      </c>
      <c r="S23" s="215" t="str" cm="1">
        <f t="array" aca="1" ref="S23" ca="1">IF($B23="","",IF(ISBLANK(INDIRECT("R6.Voz!D"&amp;SUM(18,38*11,4))),"",INDIRECT("R6.Voz!D"&amp;SUM(18,38*11,4))))</f>
        <v>N/T</v>
      </c>
      <c r="T23" s="215" t="str" cm="1">
        <f t="array" aca="1" ref="T23" ca="1">IF($B23="","",IF(ISBLANK(INDIRECT("R6.Voz!D"&amp;SUM(18,38*12,4))),"",INDIRECT("R6.Voz!D"&amp;SUM(18,38*12,4))))</f>
        <v>N/T</v>
      </c>
      <c r="U23" s="215" t="str" cm="1">
        <f t="array" aca="1" ref="U23" ca="1">IF($B23="","",IF(ISBLANK(INDIRECT("R6.Voz!D"&amp;SUM(18,38*13,4))),"",INDIRECT("R6.Voz!D"&amp;SUM(18,38*13,4))))</f>
        <v>N/T</v>
      </c>
      <c r="V23" s="215" t="str" cm="1">
        <f t="array" aca="1" ref="V23" ca="1">IF($B23="","",IF(ISBLANK(INDIRECT("R6.Voz!D"&amp;SUM(18,38*14,4))),"",INDIRECT("R6.Voz!D"&amp;SUM(18,38*14,4))))</f>
        <v>N/T</v>
      </c>
      <c r="W23" s="215" t="str" cm="1">
        <f t="array" aca="1" ref="W23" ca="1">IF($B23="","",IF(ISBLANK(INDIRECT("R6.Voz!D"&amp;SUM(18,38*15,4))),"",INDIRECT("R6.Voz!D"&amp;SUM(18,38*15,4))))</f>
        <v>N/T</v>
      </c>
      <c r="X23" s="215" t="str" cm="1">
        <f t="array" aca="1" ref="X23" ca="1">IF($B23="","",IF(ISBLANK(INDIRECT("R6.Voz!D"&amp;SUM(18,38*16,4))),"",INDIRECT("R6.Voz!D"&amp;SUM(18,38*16,4))))</f>
        <v>N/T</v>
      </c>
      <c r="Y23" s="215" t="str" cm="1">
        <f t="array" aca="1" ref="Y23" ca="1">IF($B23="","",IF(ISBLANK(INDIRECT("R6.Voz!D"&amp;SUM(18,38*17,4))),"",INDIRECT("R6.Voz!D"&amp;SUM(18,38*17,4))))</f>
        <v>N/T</v>
      </c>
      <c r="Z23" s="215" t="str" cm="1">
        <f t="array" aca="1" ref="Z23" ca="1">IF($B23="","",IF(ISBLANK(INDIRECT("R6.Voz!D"&amp;SUM(18,38*18,4))),"",INDIRECT("R6.Voz!D"&amp;SUM(18,38*18,4))))</f>
        <v>N/T</v>
      </c>
      <c r="AA23" s="215" t="str" cm="1">
        <f t="array" aca="1" ref="AA23" ca="1">IF($B23="","",IF(ISBLANK(INDIRECT("R7.Video!D"&amp;SUM(18,38*0,4))),"",INDIRECT("R7.Video!D"&amp;SUM(18,38*0,4))))</f>
        <v>N/T</v>
      </c>
      <c r="AB23" s="215" t="str" cm="1">
        <f t="array" aca="1" ref="AB23" ca="1">IF($B23="","",IF(ISBLANK(INDIRECT("R7.Video!D"&amp;SUM(18,38*1,4))),"",INDIRECT("R7.Video!D"&amp;SUM(18,38*1,4))))</f>
        <v>N/T</v>
      </c>
      <c r="AC23" s="215" t="str" cm="1">
        <f t="array" aca="1" ref="AC23" ca="1">IF($B23="","",IF(ISBLANK(INDIRECT("R7.Video!D"&amp;SUM(18,38*2,4))),"",INDIRECT("R7.Video!D"&amp;SUM(18,38*2,4))))</f>
        <v>N/T</v>
      </c>
      <c r="AD23" s="215" t="str" cm="1">
        <f t="array" aca="1" ref="AD23" ca="1">IF($B23="","",IF(ISBLANK(INDIRECT("R7.Video!D"&amp;SUM(18,38*3,4))),"",INDIRECT("R7.Video!D"&amp;SUM(18,38*3,4))))</f>
        <v>N/T</v>
      </c>
      <c r="AE23" s="215" t="str" cm="1">
        <f t="array" aca="1" ref="AE23" ca="1">IF($B23="","",IF(ISBLANK(INDIRECT("R7.Video!D"&amp;SUM(18,38*4,4))),"",INDIRECT("R7.Video!D"&amp;SUM(18,38*4,4))))</f>
        <v>N/T</v>
      </c>
      <c r="AF23" s="215" t="str" cm="1">
        <f t="array" aca="1" ref="AF23" ca="1">IF($B23="","",IF(ISBLANK(INDIRECT("R7.Video!D"&amp;SUM(18,38*5,4))),"",INDIRECT("R7.Video!D"&amp;SUM(18,38*5,4))))</f>
        <v>N/T</v>
      </c>
      <c r="AG23" s="215" t="str" cm="1">
        <f t="array" aca="1" ref="AG23" ca="1">IF($B23="","",IF(ISBLANK(INDIRECT("R7.Video!D"&amp;SUM(18,38*6,4))),"",INDIRECT("R7.Video!D"&amp;SUM(18,38*6,4))))</f>
        <v>N/T</v>
      </c>
      <c r="AH23" s="215" t="str" cm="1">
        <f t="array" aca="1" ref="AH23" ca="1">IF($B23="","",IF(ISBLANK(INDIRECT("R7.Video!D"&amp;SUM(18,38*7,4))),"",INDIRECT("R7.Video!D"&amp;SUM(18,38*7,4))))</f>
        <v>N/T</v>
      </c>
      <c r="AI23" s="215" t="str" cm="1">
        <f t="array" aca="1" ref="AI23" ca="1">IF($B23="","",IF(ISBLANK(INDIRECT("R7.Video!D"&amp;SUM(18,38*8,4))),"",INDIRECT("R7.Video!D"&amp;SUM(18,38*8,4))))</f>
        <v>N/T</v>
      </c>
      <c r="AJ23" s="215" t="str" cm="1">
        <f t="array" aca="1" ref="AJ23" ca="1">IF($B23="","",IF(ISBLANK(INDIRECT("R9.Web!D"&amp;SUM(18,38*0,4))),"",INDIRECT("R9.Web!D"&amp;SUM(18,38*0,4))))</f>
        <v>N/D</v>
      </c>
      <c r="AK23" s="215" t="str" cm="1">
        <f t="array" aca="1" ref="AK23" ca="1">IF($B23="","",IF(ISBLANK(INDIRECT("R9.Web!D"&amp;SUM(18,38*1,4))),"",INDIRECT("R9.Web!D"&amp;SUM(18,38*1,4))))</f>
        <v>N/T</v>
      </c>
      <c r="AL23" s="215" t="str" cm="1">
        <f t="array" aca="1" ref="AL23" ca="1">IF($B23="","",IF(ISBLANK(INDIRECT("R9.Web!D"&amp;SUM(18,38*2,4))),"",INDIRECT("R9.Web!D"&amp;SUM(18,38*2,4))))</f>
        <v>N/T</v>
      </c>
      <c r="AM23" s="215" t="str" cm="1">
        <f t="array" aca="1" ref="AM23" ca="1">IF($B23="","",IF(ISBLANK(INDIRECT("R9.Web!D"&amp;SUM(18,38*3,4))),"",INDIRECT("R9.Web!D"&amp;SUM(18,38*3,4))))</f>
        <v>N/T</v>
      </c>
      <c r="AN23" s="215" t="str" cm="1">
        <f t="array" aca="1" ref="AN23" ca="1">IF($B23="","",IF(ISBLANK(INDIRECT("R9.Web!D"&amp;SUM(18,38*4,4))),"",INDIRECT("R9.Web!D"&amp;SUM(18,38*4,4))))</f>
        <v>N/T</v>
      </c>
      <c r="AO23" s="215" t="str" cm="1">
        <f t="array" aca="1" ref="AO23" ca="1">IF($B23="","",IF(ISBLANK(INDIRECT("R9.Web!D"&amp;SUM(18,38*5,4))),"",INDIRECT("R9.Web!D"&amp;SUM(18,38*5,4))))</f>
        <v>N/D</v>
      </c>
      <c r="AP23" s="215" t="str" cm="1">
        <f t="array" aca="1" ref="AP23" ca="1">IF($B23="","",IF(ISBLANK(INDIRECT("R9.Web!D"&amp;SUM(18,38*6,4))),"",INDIRECT("R9.Web!D"&amp;SUM(18,38*6,4))))</f>
        <v>N/T</v>
      </c>
      <c r="AQ23" s="215" t="str" cm="1">
        <f t="array" aca="1" ref="AQ23" ca="1">IF($B23="","",IF(ISBLANK(INDIRECT("R9.Web!D"&amp;SUM(18,38*7,4))),"",INDIRECT("R9.Web!D"&amp;SUM(18,38*7,4))))</f>
        <v>N/T</v>
      </c>
      <c r="AR23" s="215" t="str" cm="1">
        <f t="array" aca="1" ref="AR23" ca="1">IF($B23="","",IF(ISBLANK(INDIRECT("R9.Web!D"&amp;SUM(18,38*8,4))),"",INDIRECT("R9.Web!D"&amp;SUM(18,38*8,4))))</f>
        <v>N/D</v>
      </c>
      <c r="AS23" s="215" t="str" cm="1">
        <f t="array" aca="1" ref="AS23" ca="1">IF($B23="","",IF(ISBLANK(INDIRECT("R9.Web!D"&amp;SUM(18,38*9,4))),"",INDIRECT("R9.Web!D"&amp;SUM(18,38*9,4))))</f>
        <v>N/D</v>
      </c>
      <c r="AT23" s="215" t="str" cm="1">
        <f t="array" aca="1" ref="AT23" ca="1">IF($B23="","",IF(ISBLANK(INDIRECT("R9.Web!D"&amp;SUM(18,38*10,4))),"",INDIRECT("R9.Web!D"&amp;SUM(18,38*10,4))))</f>
        <v>N/T</v>
      </c>
      <c r="AU23" s="215" t="str" cm="1">
        <f t="array" aca="1" ref="AU23" ca="1">IF($B23="","",IF(ISBLANK(INDIRECT("R9.Web!D"&amp;SUM(18,38*11,4))),"",INDIRECT("R9.Web!D"&amp;SUM(18,38*11,4))))</f>
        <v>N/T</v>
      </c>
      <c r="AV23" s="215" t="str" cm="1">
        <f t="array" aca="1" ref="AV23" ca="1">IF($B23="","",IF(ISBLANK(INDIRECT("R9.Web!D"&amp;SUM(18,38*12,4))),"",INDIRECT("R9.Web!D"&amp;SUM(18,38*12,4))))</f>
        <v>N/D</v>
      </c>
      <c r="AW23" s="215" t="str" cm="1">
        <f t="array" aca="1" ref="AW23" ca="1">IF($B23="","",IF(ISBLANK(INDIRECT("R9.Web!D"&amp;SUM(18,38*13,4))),"",INDIRECT("R9.Web!D"&amp;SUM(18,38*13,4))))</f>
        <v>N/T</v>
      </c>
      <c r="AX23" s="215" t="str" cm="1">
        <f t="array" aca="1" ref="AX23" ca="1">IF($B23="","",IF(ISBLANK(INDIRECT("R9.Web!D"&amp;SUM(18,38*14,4))),"",INDIRECT("R9.Web!D"&amp;SUM(18,38*14,4))))</f>
        <v>N/T</v>
      </c>
      <c r="AY23" s="215" t="str" cm="1">
        <f t="array" aca="1" ref="AY23" ca="1">IF($B23="","",IF(ISBLANK(INDIRECT("R9.Web!D"&amp;SUM(18,38*15,4))),"",INDIRECT("R9.Web!D"&amp;SUM(18,38*15,4))))</f>
        <v>N/D</v>
      </c>
      <c r="AZ23" s="215" t="str" cm="1">
        <f t="array" aca="1" ref="AZ23" ca="1">IF($B23="","",IF(ISBLANK(INDIRECT("R9.Web!D"&amp;SUM(18,38*16,4))),"",INDIRECT("R9.Web!D"&amp;SUM(18,38*16,4))))</f>
        <v>N/T</v>
      </c>
      <c r="BA23" s="215" t="str" cm="1">
        <f t="array" aca="1" ref="BA23" ca="1">IF($B23="","",IF(ISBLANK(INDIRECT("R9.Web!D"&amp;SUM(18,38*17,4))),"",INDIRECT("R9.Web!D"&amp;SUM(18,38*17,4))))</f>
        <v>N/D</v>
      </c>
      <c r="BB23" s="215" t="str" cm="1">
        <f t="array" aca="1" ref="BB23" ca="1">IF($B23="","",IF(ISBLANK(INDIRECT("R9.Web!D"&amp;SUM(18,38*18,4))),"",INDIRECT("R9.Web!D"&amp;SUM(18,38*18,4))))</f>
        <v>N/T</v>
      </c>
      <c r="BC23" s="215" t="str" cm="1">
        <f t="array" aca="1" ref="BC23" ca="1">IF($B23="","",IF(ISBLANK(INDIRECT("R9.Web!D"&amp;SUM(18,38*19,4))),"",INDIRECT("R9.Web!D"&amp;SUM(18,38*19,4))))</f>
        <v>N/D</v>
      </c>
      <c r="BD23" s="215" t="str" cm="1">
        <f t="array" aca="1" ref="BD23" ca="1">IF($B23="","",IF(ISBLANK(INDIRECT("R9.Web!D"&amp;SUM(18,38*20,4))),"",INDIRECT("R9.Web!D"&amp;SUM(18,38*20,4))))</f>
        <v>N/T</v>
      </c>
      <c r="BE23" s="215" t="str" cm="1">
        <f t="array" aca="1" ref="BE23" ca="1">IF($B23="","",IF(ISBLANK(INDIRECT("R9.Web!D"&amp;SUM(18,38*21,4))),"",INDIRECT("R9.Web!D"&amp;SUM(18,38*21,4))))</f>
        <v>N/T</v>
      </c>
      <c r="BF23" s="215" t="str" cm="1">
        <f t="array" aca="1" ref="BF23" ca="1">IF($B23="","",IF(ISBLANK(INDIRECT("R9.Web!D"&amp;SUM(18,38*22,4))),"",INDIRECT("R9.Web!D"&amp;SUM(18,38*22,4))))</f>
        <v>N/D</v>
      </c>
      <c r="BG23" s="215" t="str" cm="1">
        <f t="array" aca="1" ref="BG23" ca="1">IF($B23="","",IF(ISBLANK(INDIRECT("R9.Web!D"&amp;SUM(18,38*23,4))),"",INDIRECT("R9.Web!D"&amp;SUM(18,38*23,4))))</f>
        <v>N/D</v>
      </c>
      <c r="BH23" s="215" t="str" cm="1">
        <f t="array" aca="1" ref="BH23" ca="1">IF($B23="","",IF(ISBLANK(INDIRECT("R9.Web!D"&amp;SUM(18,38*24,4))),"",INDIRECT("R9.Web!D"&amp;SUM(18,38*24,4))))</f>
        <v>N/T</v>
      </c>
      <c r="BI23" s="215" t="str" cm="1">
        <f t="array" aca="1" ref="BI23" ca="1">IF($B23="","",IF(ISBLANK(INDIRECT("R9.Web!D"&amp;SUM(18,38*25,4))),"",INDIRECT("R9.Web!D"&amp;SUM(18,38*25,4))))</f>
        <v>N/D</v>
      </c>
      <c r="BJ23" s="215" t="str" cm="1">
        <f t="array" aca="1" ref="BJ23" ca="1">IF($B23="","",IF(ISBLANK(INDIRECT("R9.Web!D"&amp;SUM(18,38*26,4))),"",INDIRECT("R9.Web!D"&amp;SUM(18,38*26,4))))</f>
        <v>N/D</v>
      </c>
      <c r="BK23" s="215" t="str" cm="1">
        <f t="array" aca="1" ref="BK23" ca="1">IF($B23="","",IF(ISBLANK(INDIRECT("R9.Web!D"&amp;SUM(18,38*27,4))),"",INDIRECT("R9.Web!D"&amp;SUM(18,38*27,4))))</f>
        <v>N/D</v>
      </c>
      <c r="BL23" s="215" t="str" cm="1">
        <f t="array" aca="1" ref="BL23" ca="1">IF($B23="","",IF(ISBLANK(INDIRECT("R9.Web!D"&amp;SUM(18,38*28,4))),"",INDIRECT("R9.Web!D"&amp;SUM(18,38*28,4))))</f>
        <v>Falla</v>
      </c>
      <c r="BM23" s="215" t="str" cm="1">
        <f t="array" aca="1" ref="BM23" ca="1">IF($B23="","",IF(ISBLANK(INDIRECT("R9.Web!D"&amp;SUM(18,38*29,4))),"",INDIRECT("R9.Web!D"&amp;SUM(18,38*29,4))))</f>
        <v>N/D</v>
      </c>
      <c r="BN23" s="215" t="str" cm="1">
        <f t="array" aca="1" ref="BN23" ca="1">IF($B23="","",IF(ISBLANK(INDIRECT("R9.Web!D"&amp;SUM(18,38*30,4))),"",INDIRECT("R9.Web!D"&amp;SUM(18,38*30,4))))</f>
        <v>N/T</v>
      </c>
      <c r="BO23" s="215" t="str" cm="1">
        <f t="array" aca="1" ref="BO23" ca="1">IF($B23="","",IF(ISBLANK(INDIRECT("R9.Web!D"&amp;SUM(18,38*31,4))),"",INDIRECT("R9.Web!D"&amp;SUM(18,38*31,4))))</f>
        <v>N/D</v>
      </c>
      <c r="BP23" s="215" t="str" cm="1">
        <f t="array" aca="1" ref="BP23" ca="1">IF($B23="","",IF(ISBLANK(INDIRECT("R9.Web!D"&amp;SUM(18,38*32,4))),"",INDIRECT("R9.Web!D"&amp;SUM(18,38*32,4))))</f>
        <v>N/T</v>
      </c>
      <c r="BQ23" s="215" t="str" cm="1">
        <f t="array" aca="1" ref="BQ23" ca="1">IF($B23="","",IF(ISBLANK(INDIRECT("R9.Web!D"&amp;SUM(18,38*33,4))),"",INDIRECT("R9.Web!D"&amp;SUM(18,38*33,4))))</f>
        <v>N/T</v>
      </c>
      <c r="BR23" s="215" t="str" cm="1">
        <f t="array" aca="1" ref="BR23" ca="1">IF($B23="","",IF(ISBLANK(INDIRECT("R9.Web!D"&amp;SUM(18,38*34,4))),"",INDIRECT("R9.Web!D"&amp;SUM(18,38*34,4))))</f>
        <v>N/D</v>
      </c>
      <c r="BS23" s="215" t="str" cm="1">
        <f t="array" aca="1" ref="BS23" ca="1">IF($B23="","",IF(ISBLANK(INDIRECT("R9.Web!D"&amp;SUM(18,38*35,4))),"",INDIRECT("R9.Web!D"&amp;SUM(18,38*35,4))))</f>
        <v>N/T</v>
      </c>
      <c r="BT23" s="215" t="str" cm="1">
        <f t="array" aca="1" ref="BT23" ca="1">IF($B23="","",IF(ISBLANK(INDIRECT("R9.Web!D"&amp;SUM(18,38*36,4))),"",INDIRECT("R9.Web!D"&amp;SUM(18,38*36,4))))</f>
        <v>N/D</v>
      </c>
      <c r="BU23" s="215" t="str" cm="1">
        <f t="array" aca="1" ref="BU23" ca="1">IF($B23="","",IF(ISBLANK(INDIRECT("R9.Web!D"&amp;SUM(18,38*37,4))),"",INDIRECT("R9.Web!D"&amp;SUM(18,38*37,4))))</f>
        <v>N/D</v>
      </c>
      <c r="BV23" s="215" t="str" cm="1">
        <f t="array" aca="1" ref="BV23" ca="1">IF($B23="","",IF(ISBLANK(INDIRECT("R9.Web!D"&amp;SUM(18,38*38,4))),"",INDIRECT("R9.Web!D"&amp;SUM(18,38*38,4))))</f>
        <v>N/D</v>
      </c>
      <c r="BW23" s="215" t="str" cm="1">
        <f t="array" aca="1" ref="BW23" ca="1">IF($B23="","",IF(ISBLANK(INDIRECT("R9.Web!D"&amp;SUM(18,38*39,4))),"",INDIRECT("R9.Web!D"&amp;SUM(18,38*39,4))))</f>
        <v>N/D</v>
      </c>
      <c r="BX23" s="215" t="str" cm="1">
        <f t="array" aca="1" ref="BX23" ca="1">IF($B23="","",IF(ISBLANK(INDIRECT("R9.Web!D"&amp;SUM(18,38*40,4))),"",INDIRECT("R9.Web!D"&amp;SUM(18,38*40,4))))</f>
        <v>N/D</v>
      </c>
      <c r="BY23" s="215" t="str" cm="1">
        <f t="array" aca="1" ref="BY23" ca="1">IF($B23="","",IF(ISBLANK(INDIRECT("R9.Web!D"&amp;SUM(18,38*41,4))),"",INDIRECT("R9.Web!D"&amp;SUM(18,38*41,4))))</f>
        <v>N/T</v>
      </c>
      <c r="BZ23" s="215" t="str" cm="1">
        <f t="array" aca="1" ref="BZ23" ca="1">IF($B23="","",IF(ISBLANK(INDIRECT("R9.Web!D"&amp;SUM(18,38*42,4))),"",INDIRECT("R9.Web!D"&amp;SUM(18,38*42,4))))</f>
        <v>N/T</v>
      </c>
      <c r="CA23" s="215" t="str" cm="1">
        <f t="array" aca="1" ref="CA23" ca="1">IF($B23="","",IF(ISBLANK(INDIRECT("R9.Web!D"&amp;SUM(18,38*43,4))),"",INDIRECT("R9.Web!D"&amp;SUM(18,38*43,4))))</f>
        <v>N/D</v>
      </c>
      <c r="CB23" s="215" t="str" cm="1">
        <f t="array" aca="1" ref="CB23" ca="1">IF($B23="","",IF(ISBLANK(INDIRECT("R9.Web!D"&amp;SUM(18,38*44,4))),"",INDIRECT("R9.Web!D"&amp;SUM(18,38*44,4))))</f>
        <v>N/T</v>
      </c>
      <c r="CC23" s="215" t="str" cm="1">
        <f t="array" aca="1" ref="CC23" ca="1">IF($B23="","",IF(ISBLANK(INDIRECT("R9.Web!D"&amp;SUM(18,38*45,4))),"",INDIRECT("R9.Web!D"&amp;SUM(18,38*45,4))))</f>
        <v>N/T</v>
      </c>
      <c r="CD23" s="215" t="str" cm="1">
        <f t="array" aca="1" ref="CD23" ca="1">IF($B23="","",IF(ISBLANK(INDIRECT("R9.Web!D"&amp;SUM(18,38*46,4))),"",INDIRECT("R9.Web!D"&amp;SUM(18,38*46,4))))</f>
        <v>N/T</v>
      </c>
      <c r="CE23" s="215" t="str" cm="1">
        <f t="array" aca="1" ref="CE23" ca="1">IF($B23="","",IF(ISBLANK(INDIRECT("R9.Web!D"&amp;SUM(18,38*47,4))),"",INDIRECT("R9.Web!D"&amp;SUM(18,38*47,4))))</f>
        <v>N/D</v>
      </c>
      <c r="CF23" s="215" t="str" cm="1">
        <f t="array" aca="1" ref="CF23" ca="1">IF($B23="","",IF(ISBLANK(INDIRECT("R9.Web!D"&amp;SUM(18,38*48,4))),"",INDIRECT("R9.Web!D"&amp;SUM(18,38*48,4))))</f>
        <v>N/T</v>
      </c>
      <c r="CG23" s="215" t="str" cm="1">
        <f t="array" aca="1" ref="CG23" ca="1">IF($B23="","",IF(ISBLANK(INDIRECT("R9.Web!D"&amp;SUM(18,38*49,4))),"",INDIRECT("R9.Web!D"&amp;SUM(18,38*49,4))))</f>
        <v>N/T</v>
      </c>
      <c r="CH23" s="215" t="str" cm="1">
        <f t="array" aca="1" ref="CH23" ca="1">IF($B23="","",IF(ISBLANK(INDIRECT("R11.Software!D"&amp;SUM(18,38*0,4))),"",INDIRECT("R11.Software!D"&amp;SUM(18,38*0,4))))</f>
        <v>N/T</v>
      </c>
      <c r="CI23" s="215" t="str" cm="1">
        <f t="array" aca="1" ref="CI23" ca="1">IF($B23="","",IF(ISBLANK(INDIRECT("R11.Software!D"&amp;SUM(18,38*1,4))),"",INDIRECT("R11.Software!D"&amp;SUM(18,38*1,4))))</f>
        <v>N/T</v>
      </c>
      <c r="CJ23" s="215" t="str" cm="1">
        <f t="array" aca="1" ref="CJ23" ca="1">IF($B23="","",IF(ISBLANK(INDIRECT("R11.Software!D"&amp;SUM(18,38*2,4))),"",INDIRECT("R11.Software!D"&amp;SUM(18,38*2,4))))</f>
        <v>N/T</v>
      </c>
      <c r="CK23" s="215" t="str" cm="1">
        <f t="array" aca="1" ref="CK23" ca="1">IF($B23="","",IF(ISBLANK(INDIRECT("R11.Software!D"&amp;SUM(18,38*3,4))),"",INDIRECT("R11.Software!D"&amp;SUM(18,38*3,4))))</f>
        <v>N/T</v>
      </c>
      <c r="CL23" s="215" t="str" cm="1">
        <f t="array" aca="1" ref="CL23" ca="1">IF($B23="","",IF(ISBLANK(INDIRECT("R11.Software!D"&amp;SUM(18,38*4,4))),"",INDIRECT("R11.Software!D"&amp;SUM(18,38*4,4))))</f>
        <v>N/T</v>
      </c>
      <c r="CM23" s="215" t="str" cm="1">
        <f t="array" aca="1" ref="CM23" ca="1">IF($B23="","",IF(ISBLANK(INDIRECT("R11.Software!D"&amp;SUM(18,38*5,4))),"",INDIRECT("R11.Software!D"&amp;SUM(18,38*5,4))))</f>
        <v>N/T</v>
      </c>
      <c r="CN23" s="215" t="str" cm="1">
        <f t="array" aca="1" ref="CN23" ca="1">IF($B23="","",IF(ISBLANK(INDIRECT("R12.ServiciosApoyo!D"&amp;SUM(18,38*0,4))),"",INDIRECT("R12.ServiciosApoyo!D"&amp;SUM(18,38*0,4))))</f>
        <v>N/T</v>
      </c>
      <c r="CO23" s="215" t="str" cm="1">
        <f t="array" aca="1" ref="CO23" ca="1">IF($B23="","",IF(ISBLANK(INDIRECT("R12.ServiciosApoyo!D"&amp;SUM(18,38*1,4))),"",INDIRECT("R12.ServiciosApoyo!D"&amp;SUM(18,38*1,4))))</f>
        <v>N/T</v>
      </c>
      <c r="CP23" s="215" t="str" cm="1">
        <f t="array" aca="1" ref="CP23" ca="1">IF($B23="","",IF(ISBLANK(INDIRECT("R12.ServiciosApoyo!D"&amp;SUM(18,38*2,4))),"",INDIRECT("R12.ServiciosApoyo!D"&amp;SUM(18,38*2,4))))</f>
        <v>N/T</v>
      </c>
      <c r="CQ23" s="215" t="str" cm="1">
        <f t="array" aca="1" ref="CQ23" ca="1">IF($B23="","",IF(ISBLANK(INDIRECT("R12.ServiciosApoyo!D"&amp;SUM(18,38*3,4))),"",INDIRECT("R12.ServiciosApoyo!D"&amp;SUM(18,38*3,4))))</f>
        <v>N/T</v>
      </c>
      <c r="CR23" s="215" t="str" cm="1">
        <f t="array" aca="1" ref="CR23" ca="1">IF($B23="","",IF(ISBLANK(INDIRECT("R12.ServiciosApoyo!D"&amp;SUM(18,38*4,4))),"",INDIRECT("R12.ServiciosApoyo!D"&amp;SUM(18,38*4,4))))</f>
        <v>N/T</v>
      </c>
      <c r="CU23" s="100"/>
      <c r="CV23" s="29"/>
      <c r="CW23" s="29"/>
      <c r="CX23" s="29"/>
    </row>
    <row r="24" spans="2:102" ht="20.25">
      <c r="B24" s="181" t="n" cm="1">
        <f t="array" ref="B24">IFERROR(INDEX('03.Muestra'!$B$8:$B$42,SMALL(IF("Página Web"='03.Muestra'!$D$8:$D$42,ROW('03.Muestra'!$B$8:$B$42)-MIN(ROW('03.Muestra'!$D$8:$D$42))+1,""),ROW()-19)),"")</f>
        <v>1.0</v>
      </c>
      <c r="C24" s="97" t="str" cm="1">
        <f t="array" ref="C24">IFERROR(INDEX('03.Muestra'!$C$8:$C$42,SMALL(IF("Página Web"='03.Muestra'!$D$8:$D$42,ROW('03.Muestra'!$C$8:$C$42)-MIN(ROW('03.Muestra'!$D$8:$D$42))+1,""),ROW()-19)),"")</f>
        <v>Home - PortCastelló</v>
      </c>
      <c r="D24" s="98" t="str" cm="1">
        <f t="array" ref="D24">IFERROR(INDEX('03.Muestra'!$F$8:$F$42,SMALL(IF("Página Web"='03.Muestra'!$D$8:$D$42,ROW('03.Muestra'!$F$8:$F$42)-MIN(ROW('03.Muestra'!$D$8:$D$42))+1,""),ROW()-19)),"")</f>
        <v>https://www.portcastello.com/</v>
      </c>
      <c r="E24" s="215" t="str" cm="1">
        <f t="array" aca="1" ref="E24" ca="1">IF($B24="","",IF(ISBLANK(INDIRECT("R5.Genéricos!D"&amp;SUM(18,38*0,5))),"",INDIRECT("R5.Genéricos!D"&amp;SUM(18,38*0,5))))</f>
        <v>N/T</v>
      </c>
      <c r="F24" s="215" t="str" cm="1">
        <f t="array" aca="1" ref="F24" ca="1">IF($B24="","",IF(ISBLANK(INDIRECT("R5.Genéricos!D"&amp;SUM(18,38*1,5))),"",INDIRECT("R5.Genéricos!D"&amp;SUM(18,38*1,5))))</f>
        <v>N/T</v>
      </c>
      <c r="G24" s="215" t="str" cm="1">
        <f t="array" aca="1" ref="G24" ca="1">IF($B24="","",IF(ISBLANK(INDIRECT("R5.Genéricos!D"&amp;SUM(18,38*2,5))),"",INDIRECT("R5.Genéricos!D"&amp;SUM(18,38*2,5))))</f>
        <v>N/T</v>
      </c>
      <c r="H24" s="215" t="str" cm="1">
        <f t="array" aca="1" ref="H24" ca="1">IF($B24="","",IF(ISBLANK(INDIRECT("R6.Voz!D"&amp;SUM(18,38*0,5))),"",INDIRECT("R6.Voz!D"&amp;SUM(18,38*0,5))))</f>
        <v>N/T</v>
      </c>
      <c r="I24" s="215" t="str" cm="1">
        <f t="array" aca="1" ref="I24" ca="1">IF($B24="","",IF(ISBLANK(INDIRECT("R6.Voz!D"&amp;SUM(18,38*1,5))),"",INDIRECT("R6.Voz!D"&amp;SUM(18,38*1,5))))</f>
        <v>N/T</v>
      </c>
      <c r="J24" s="215" t="str" cm="1">
        <f t="array" aca="1" ref="J24" ca="1">IF($B24="","",IF(ISBLANK(INDIRECT("R6.Voz!D"&amp;SUM(18,38*2,5))),"",INDIRECT("R6.Voz!D"&amp;SUM(18,38*2,5))))</f>
        <v>N/T</v>
      </c>
      <c r="K24" s="215" t="str" cm="1">
        <f t="array" aca="1" ref="K24" ca="1">IF($B24="","",IF(ISBLANK(INDIRECT("R6.Voz!D"&amp;SUM(18,38*3,5))),"",INDIRECT("R6.Voz!D"&amp;SUM(18,38*3,5))))</f>
        <v>N/T</v>
      </c>
      <c r="L24" s="215" t="str" cm="1">
        <f t="array" aca="1" ref="L24" ca="1">IF($B24="","",IF(ISBLANK(INDIRECT("R6.Voz!D"&amp;SUM(18,38*4,5))),"",INDIRECT("R6.Voz!D"&amp;SUM(18,38*4,5))))</f>
        <v>N/T</v>
      </c>
      <c r="M24" s="215" t="str" cm="1">
        <f t="array" aca="1" ref="M24" ca="1">IF($B24="","",IF(ISBLANK(INDIRECT("R6.Voz!D"&amp;SUM(18,38*5,5))),"",INDIRECT("R6.Voz!D"&amp;SUM(18,38*5,5))))</f>
        <v>N/T</v>
      </c>
      <c r="N24" s="215" t="str" cm="1">
        <f t="array" aca="1" ref="N24" ca="1">IF($B24="","",IF(ISBLANK(INDIRECT("R6.Voz!D"&amp;SUM(18,38*6,5))),"",INDIRECT("R6.Voz!D"&amp;SUM(18,38*6,5))))</f>
        <v>N/T</v>
      </c>
      <c r="O24" s="215" t="str" cm="1">
        <f t="array" aca="1" ref="O24" ca="1">IF($B24="","",IF(ISBLANK(INDIRECT("R6.Voz!D"&amp;SUM(18,38*7,5))),"",INDIRECT("R6.Voz!D"&amp;SUM(18,38*7,5))))</f>
        <v>N/T</v>
      </c>
      <c r="P24" s="215" t="str" cm="1">
        <f t="array" aca="1" ref="P24" ca="1">IF($B24="","",IF(ISBLANK(INDIRECT("R6.Voz!D"&amp;SUM(18,38*8,5))),"",INDIRECT("R6.Voz!D"&amp;SUM(18,38*8,5))))</f>
        <v>N/T</v>
      </c>
      <c r="Q24" s="215" t="str" cm="1">
        <f t="array" aca="1" ref="Q24" ca="1">IF($B24="","",IF(ISBLANK(INDIRECT("R6.Voz!D"&amp;SUM(18,38*9,5))),"",INDIRECT("R6.Voz!D"&amp;SUM(18,38*9,5))))</f>
        <v>N/T</v>
      </c>
      <c r="R24" s="215" t="str" cm="1">
        <f t="array" aca="1" ref="R24" ca="1">IF($B24="","",IF(ISBLANK(INDIRECT("R6.Voz!D"&amp;SUM(18,38*10,5))),"",INDIRECT("R6.Voz!D"&amp;SUM(18,38*10,5))))</f>
        <v>N/T</v>
      </c>
      <c r="S24" s="215" t="str" cm="1">
        <f t="array" aca="1" ref="S24" ca="1">IF($B24="","",IF(ISBLANK(INDIRECT("R6.Voz!D"&amp;SUM(18,38*11,5))),"",INDIRECT("R6.Voz!D"&amp;SUM(18,38*11,5))))</f>
        <v>N/T</v>
      </c>
      <c r="T24" s="215" t="str" cm="1">
        <f t="array" aca="1" ref="T24" ca="1">IF($B24="","",IF(ISBLANK(INDIRECT("R6.Voz!D"&amp;SUM(18,38*12,5))),"",INDIRECT("R6.Voz!D"&amp;SUM(18,38*12,5))))</f>
        <v>N/T</v>
      </c>
      <c r="U24" s="215" t="str" cm="1">
        <f t="array" aca="1" ref="U24" ca="1">IF($B24="","",IF(ISBLANK(INDIRECT("R6.Voz!D"&amp;SUM(18,38*13,5))),"",INDIRECT("R6.Voz!D"&amp;SUM(18,38*13,5))))</f>
        <v>N/T</v>
      </c>
      <c r="V24" s="215" t="str" cm="1">
        <f t="array" aca="1" ref="V24" ca="1">IF($B24="","",IF(ISBLANK(INDIRECT("R6.Voz!D"&amp;SUM(18,38*14,5))),"",INDIRECT("R6.Voz!D"&amp;SUM(18,38*14,5))))</f>
        <v>N/T</v>
      </c>
      <c r="W24" s="215" t="str" cm="1">
        <f t="array" aca="1" ref="W24" ca="1">IF($B24="","",IF(ISBLANK(INDIRECT("R6.Voz!D"&amp;SUM(18,38*15,5))),"",INDIRECT("R6.Voz!D"&amp;SUM(18,38*15,5))))</f>
        <v>N/T</v>
      </c>
      <c r="X24" s="215" t="str" cm="1">
        <f t="array" aca="1" ref="X24" ca="1">IF($B24="","",IF(ISBLANK(INDIRECT("R6.Voz!D"&amp;SUM(18,38*16,5))),"",INDIRECT("R6.Voz!D"&amp;SUM(18,38*16,5))))</f>
        <v>N/T</v>
      </c>
      <c r="Y24" s="215" t="str" cm="1">
        <f t="array" aca="1" ref="Y24" ca="1">IF($B24="","",IF(ISBLANK(INDIRECT("R6.Voz!D"&amp;SUM(18,38*17,5))),"",INDIRECT("R6.Voz!D"&amp;SUM(18,38*17,5))))</f>
        <v>N/T</v>
      </c>
      <c r="Z24" s="215" t="str" cm="1">
        <f t="array" aca="1" ref="Z24" ca="1">IF($B24="","",IF(ISBLANK(INDIRECT("R6.Voz!D"&amp;SUM(18,38*18,5))),"",INDIRECT("R6.Voz!D"&amp;SUM(18,38*18,5))))</f>
        <v>N/T</v>
      </c>
      <c r="AA24" s="215" t="str" cm="1">
        <f t="array" aca="1" ref="AA24" ca="1">IF($B24="","",IF(ISBLANK(INDIRECT("R7.Video!D"&amp;SUM(18,38*0,5))),"",INDIRECT("R7.Video!D"&amp;SUM(18,38*0,5))))</f>
        <v>N/T</v>
      </c>
      <c r="AB24" s="215" t="str" cm="1">
        <f t="array" aca="1" ref="AB24" ca="1">IF($B24="","",IF(ISBLANK(INDIRECT("R7.Video!D"&amp;SUM(18,38*1,5))),"",INDIRECT("R7.Video!D"&amp;SUM(18,38*1,5))))</f>
        <v>N/T</v>
      </c>
      <c r="AC24" s="215" t="str" cm="1">
        <f t="array" aca="1" ref="AC24" ca="1">IF($B24="","",IF(ISBLANK(INDIRECT("R7.Video!D"&amp;SUM(18,38*2,5))),"",INDIRECT("R7.Video!D"&amp;SUM(18,38*2,5))))</f>
        <v>N/T</v>
      </c>
      <c r="AD24" s="215" t="str" cm="1">
        <f t="array" aca="1" ref="AD24" ca="1">IF($B24="","",IF(ISBLANK(INDIRECT("R7.Video!D"&amp;SUM(18,38*3,5))),"",INDIRECT("R7.Video!D"&amp;SUM(18,38*3,5))))</f>
        <v>N/T</v>
      </c>
      <c r="AE24" s="215" t="str" cm="1">
        <f t="array" aca="1" ref="AE24" ca="1">IF($B24="","",IF(ISBLANK(INDIRECT("R7.Video!D"&amp;SUM(18,38*4,5))),"",INDIRECT("R7.Video!D"&amp;SUM(18,38*4,5))))</f>
        <v>N/T</v>
      </c>
      <c r="AF24" s="215" t="str" cm="1">
        <f t="array" aca="1" ref="AF24" ca="1">IF($B24="","",IF(ISBLANK(INDIRECT("R7.Video!D"&amp;SUM(18,38*5,5))),"",INDIRECT("R7.Video!D"&amp;SUM(18,38*5,5))))</f>
        <v>N/T</v>
      </c>
      <c r="AG24" s="215" t="str" cm="1">
        <f t="array" aca="1" ref="AG24" ca="1">IF($B24="","",IF(ISBLANK(INDIRECT("R7.Video!D"&amp;SUM(18,38*6,5))),"",INDIRECT("R7.Video!D"&amp;SUM(18,38*6,5))))</f>
        <v>N/T</v>
      </c>
      <c r="AH24" s="215" t="str" cm="1">
        <f t="array" aca="1" ref="AH24" ca="1">IF($B24="","",IF(ISBLANK(INDIRECT("R7.Video!D"&amp;SUM(18,38*7,5))),"",INDIRECT("R7.Video!D"&amp;SUM(18,38*7,5))))</f>
        <v>N/T</v>
      </c>
      <c r="AI24" s="215" t="str" cm="1">
        <f t="array" aca="1" ref="AI24" ca="1">IF($B24="","",IF(ISBLANK(INDIRECT("R7.Video!D"&amp;SUM(18,38*8,5))),"",INDIRECT("R7.Video!D"&amp;SUM(18,38*8,5))))</f>
        <v>N/T</v>
      </c>
      <c r="AJ24" s="215" t="str" cm="1">
        <f t="array" aca="1" ref="AJ24" ca="1">IF($B24="","",IF(ISBLANK(INDIRECT("R9.Web!D"&amp;SUM(18,38*0,5))),"",INDIRECT("R9.Web!D"&amp;SUM(18,38*0,5))))</f>
        <v>N/D</v>
      </c>
      <c r="AK24" s="215" t="str" cm="1">
        <f t="array" aca="1" ref="AK24" ca="1">IF($B24="","",IF(ISBLANK(INDIRECT("R9.Web!D"&amp;SUM(18,38*1,5))),"",INDIRECT("R9.Web!D"&amp;SUM(18,38*1,5))))</f>
        <v>N/T</v>
      </c>
      <c r="AL24" s="215" t="str" cm="1">
        <f t="array" aca="1" ref="AL24" ca="1">IF($B24="","",IF(ISBLANK(INDIRECT("R9.Web!D"&amp;SUM(18,38*2,5))),"",INDIRECT("R9.Web!D"&amp;SUM(18,38*2,5))))</f>
        <v>N/T</v>
      </c>
      <c r="AM24" s="215" t="str" cm="1">
        <f t="array" aca="1" ref="AM24" ca="1">IF($B24="","",IF(ISBLANK(INDIRECT("R9.Web!D"&amp;SUM(18,38*3,5))),"",INDIRECT("R9.Web!D"&amp;SUM(18,38*3,5))))</f>
        <v>N/T</v>
      </c>
      <c r="AN24" s="215" t="str" cm="1">
        <f t="array" aca="1" ref="AN24" ca="1">IF($B24="","",IF(ISBLANK(INDIRECT("R9.Web!D"&amp;SUM(18,38*4,5))),"",INDIRECT("R9.Web!D"&amp;SUM(18,38*4,5))))</f>
        <v>N/T</v>
      </c>
      <c r="AO24" s="215" t="str" cm="1">
        <f t="array" aca="1" ref="AO24" ca="1">IF($B24="","",IF(ISBLANK(INDIRECT("R9.Web!D"&amp;SUM(18,38*5,5))),"",INDIRECT("R9.Web!D"&amp;SUM(18,38*5,5))))</f>
        <v>N/D</v>
      </c>
      <c r="AP24" s="215" t="str" cm="1">
        <f t="array" aca="1" ref="AP24" ca="1">IF($B24="","",IF(ISBLANK(INDIRECT("R9.Web!D"&amp;SUM(18,38*6,5))),"",INDIRECT("R9.Web!D"&amp;SUM(18,38*6,5))))</f>
        <v>N/T</v>
      </c>
      <c r="AQ24" s="215" t="str" cm="1">
        <f t="array" aca="1" ref="AQ24" ca="1">IF($B24="","",IF(ISBLANK(INDIRECT("R9.Web!D"&amp;SUM(18,38*7,5))),"",INDIRECT("R9.Web!D"&amp;SUM(18,38*7,5))))</f>
        <v>N/T</v>
      </c>
      <c r="AR24" s="215" t="str" cm="1">
        <f t="array" aca="1" ref="AR24" ca="1">IF($B24="","",IF(ISBLANK(INDIRECT("R9.Web!D"&amp;SUM(18,38*8,5))),"",INDIRECT("R9.Web!D"&amp;SUM(18,38*8,5))))</f>
        <v>N/D</v>
      </c>
      <c r="AS24" s="215" t="str" cm="1">
        <f t="array" aca="1" ref="AS24" ca="1">IF($B24="","",IF(ISBLANK(INDIRECT("R9.Web!D"&amp;SUM(18,38*9,5))),"",INDIRECT("R9.Web!D"&amp;SUM(18,38*9,5))))</f>
        <v>N/D</v>
      </c>
      <c r="AT24" s="215" t="str" cm="1">
        <f t="array" aca="1" ref="AT24" ca="1">IF($B24="","",IF(ISBLANK(INDIRECT("R9.Web!D"&amp;SUM(18,38*10,5))),"",INDIRECT("R9.Web!D"&amp;SUM(18,38*10,5))))</f>
        <v>N/T</v>
      </c>
      <c r="AU24" s="215" t="str" cm="1">
        <f t="array" aca="1" ref="AU24" ca="1">IF($B24="","",IF(ISBLANK(INDIRECT("R9.Web!D"&amp;SUM(18,38*11,5))),"",INDIRECT("R9.Web!D"&amp;SUM(18,38*11,5))))</f>
        <v>N/T</v>
      </c>
      <c r="AV24" s="215" t="str" cm="1">
        <f t="array" aca="1" ref="AV24" ca="1">IF($B24="","",IF(ISBLANK(INDIRECT("R9.Web!D"&amp;SUM(18,38*12,5))),"",INDIRECT("R9.Web!D"&amp;SUM(18,38*12,5))))</f>
        <v>N/D</v>
      </c>
      <c r="AW24" s="215" t="str" cm="1">
        <f t="array" aca="1" ref="AW24" ca="1">IF($B24="","",IF(ISBLANK(INDIRECT("R9.Web!D"&amp;SUM(18,38*13,5))),"",INDIRECT("R9.Web!D"&amp;SUM(18,38*13,5))))</f>
        <v>N/T</v>
      </c>
      <c r="AX24" s="215" t="str" cm="1">
        <f t="array" aca="1" ref="AX24" ca="1">IF($B24="","",IF(ISBLANK(INDIRECT("R9.Web!D"&amp;SUM(18,38*14,5))),"",INDIRECT("R9.Web!D"&amp;SUM(18,38*14,5))))</f>
        <v>N/T</v>
      </c>
      <c r="AY24" s="215" t="str" cm="1">
        <f t="array" aca="1" ref="AY24" ca="1">IF($B24="","",IF(ISBLANK(INDIRECT("R9.Web!D"&amp;SUM(18,38*15,5))),"",INDIRECT("R9.Web!D"&amp;SUM(18,38*15,5))))</f>
        <v>N/D</v>
      </c>
      <c r="AZ24" s="215" t="str" cm="1">
        <f t="array" aca="1" ref="AZ24" ca="1">IF($B24="","",IF(ISBLANK(INDIRECT("R9.Web!D"&amp;SUM(18,38*16,5))),"",INDIRECT("R9.Web!D"&amp;SUM(18,38*16,5))))</f>
        <v>N/T</v>
      </c>
      <c r="BA24" s="215" t="str" cm="1">
        <f t="array" aca="1" ref="BA24" ca="1">IF($B24="","",IF(ISBLANK(INDIRECT("R9.Web!D"&amp;SUM(18,38*17,5))),"",INDIRECT("R9.Web!D"&amp;SUM(18,38*17,5))))</f>
        <v>N/D</v>
      </c>
      <c r="BB24" s="215" t="str" cm="1">
        <f t="array" aca="1" ref="BB24" ca="1">IF($B24="","",IF(ISBLANK(INDIRECT("R9.Web!D"&amp;SUM(18,38*18,5))),"",INDIRECT("R9.Web!D"&amp;SUM(18,38*18,5))))</f>
        <v>N/T</v>
      </c>
      <c r="BC24" s="215" t="str" cm="1">
        <f t="array" aca="1" ref="BC24" ca="1">IF($B24="","",IF(ISBLANK(INDIRECT("R9.Web!D"&amp;SUM(18,38*19,5))),"",INDIRECT("R9.Web!D"&amp;SUM(18,38*19,5))))</f>
        <v>N/D</v>
      </c>
      <c r="BD24" s="215" t="str" cm="1">
        <f t="array" aca="1" ref="BD24" ca="1">IF($B24="","",IF(ISBLANK(INDIRECT("R9.Web!D"&amp;SUM(18,38*20,5))),"",INDIRECT("R9.Web!D"&amp;SUM(18,38*20,5))))</f>
        <v>N/T</v>
      </c>
      <c r="BE24" s="215" t="str" cm="1">
        <f t="array" aca="1" ref="BE24" ca="1">IF($B24="","",IF(ISBLANK(INDIRECT("R9.Web!D"&amp;SUM(18,38*21,5))),"",INDIRECT("R9.Web!D"&amp;SUM(18,38*21,5))))</f>
        <v>N/T</v>
      </c>
      <c r="BF24" s="215" t="str" cm="1">
        <f t="array" aca="1" ref="BF24" ca="1">IF($B24="","",IF(ISBLANK(INDIRECT("R9.Web!D"&amp;SUM(18,38*22,5))),"",INDIRECT("R9.Web!D"&amp;SUM(18,38*22,5))))</f>
        <v>N/D</v>
      </c>
      <c r="BG24" s="215" t="str" cm="1">
        <f t="array" aca="1" ref="BG24" ca="1">IF($B24="","",IF(ISBLANK(INDIRECT("R9.Web!D"&amp;SUM(18,38*23,5))),"",INDIRECT("R9.Web!D"&amp;SUM(18,38*23,5))))</f>
        <v>N/D</v>
      </c>
      <c r="BH24" s="215" t="str" cm="1">
        <f t="array" aca="1" ref="BH24" ca="1">IF($B24="","",IF(ISBLANK(INDIRECT("R9.Web!D"&amp;SUM(18,38*24,5))),"",INDIRECT("R9.Web!D"&amp;SUM(18,38*24,5))))</f>
        <v>N/T</v>
      </c>
      <c r="BI24" s="215" t="str" cm="1">
        <f t="array" aca="1" ref="BI24" ca="1">IF($B24="","",IF(ISBLANK(INDIRECT("R9.Web!D"&amp;SUM(18,38*25,5))),"",INDIRECT("R9.Web!D"&amp;SUM(18,38*25,5))))</f>
        <v>N/D</v>
      </c>
      <c r="BJ24" s="215" t="str" cm="1">
        <f t="array" aca="1" ref="BJ24" ca="1">IF($B24="","",IF(ISBLANK(INDIRECT("R9.Web!D"&amp;SUM(18,38*26,5))),"",INDIRECT("R9.Web!D"&amp;SUM(18,38*26,5))))</f>
        <v>N/D</v>
      </c>
      <c r="BK24" s="215" t="str" cm="1">
        <f t="array" aca="1" ref="BK24" ca="1">IF($B24="","",IF(ISBLANK(INDIRECT("R9.Web!D"&amp;SUM(18,38*27,5))),"",INDIRECT("R9.Web!D"&amp;SUM(18,38*27,5))))</f>
        <v>N/D</v>
      </c>
      <c r="BL24" s="215" t="str" cm="1">
        <f t="array" aca="1" ref="BL24" ca="1">IF($B24="","",IF(ISBLANK(INDIRECT("R9.Web!D"&amp;SUM(18,38*28,5))),"",INDIRECT("R9.Web!D"&amp;SUM(18,38*28,5))))</f>
        <v>N/D</v>
      </c>
      <c r="BM24" s="215" t="str" cm="1">
        <f t="array" aca="1" ref="BM24" ca="1">IF($B24="","",IF(ISBLANK(INDIRECT("R9.Web!D"&amp;SUM(18,38*29,5))),"",INDIRECT("R9.Web!D"&amp;SUM(18,38*29,5))))</f>
        <v>N/D</v>
      </c>
      <c r="BN24" s="215" t="str" cm="1">
        <f t="array" aca="1" ref="BN24" ca="1">IF($B24="","",IF(ISBLANK(INDIRECT("R9.Web!D"&amp;SUM(18,38*30,5))),"",INDIRECT("R9.Web!D"&amp;SUM(18,38*30,5))))</f>
        <v>N/T</v>
      </c>
      <c r="BO24" s="215" t="str" cm="1">
        <f t="array" aca="1" ref="BO24" ca="1">IF($B24="","",IF(ISBLANK(INDIRECT("R9.Web!D"&amp;SUM(18,38*31,5))),"",INDIRECT("R9.Web!D"&amp;SUM(18,38*31,5))))</f>
        <v>N/D</v>
      </c>
      <c r="BP24" s="215" t="str" cm="1">
        <f t="array" aca="1" ref="BP24" ca="1">IF($B24="","",IF(ISBLANK(INDIRECT("R9.Web!D"&amp;SUM(18,38*32,5))),"",INDIRECT("R9.Web!D"&amp;SUM(18,38*32,5))))</f>
        <v>N/T</v>
      </c>
      <c r="BQ24" s="215" t="str" cm="1">
        <f t="array" aca="1" ref="BQ24" ca="1">IF($B24="","",IF(ISBLANK(INDIRECT("R9.Web!D"&amp;SUM(18,38*33,5))),"",INDIRECT("R9.Web!D"&amp;SUM(18,38*33,5))))</f>
        <v>N/T</v>
      </c>
      <c r="BR24" s="215" t="str" cm="1">
        <f t="array" aca="1" ref="BR24" ca="1">IF($B24="","",IF(ISBLANK(INDIRECT("R9.Web!D"&amp;SUM(18,38*34,5))),"",INDIRECT("R9.Web!D"&amp;SUM(18,38*34,5))))</f>
        <v>N/D</v>
      </c>
      <c r="BS24" s="215" t="str" cm="1">
        <f t="array" aca="1" ref="BS24" ca="1">IF($B24="","",IF(ISBLANK(INDIRECT("R9.Web!D"&amp;SUM(18,38*35,5))),"",INDIRECT("R9.Web!D"&amp;SUM(18,38*35,5))))</f>
        <v>N/T</v>
      </c>
      <c r="BT24" s="215" t="str" cm="1">
        <f t="array" aca="1" ref="BT24" ca="1">IF($B24="","",IF(ISBLANK(INDIRECT("R9.Web!D"&amp;SUM(18,38*36,5))),"",INDIRECT("R9.Web!D"&amp;SUM(18,38*36,5))))</f>
        <v>N/D</v>
      </c>
      <c r="BU24" s="215" t="str" cm="1">
        <f t="array" aca="1" ref="BU24" ca="1">IF($B24="","",IF(ISBLANK(INDIRECT("R9.Web!D"&amp;SUM(18,38*37,5))),"",INDIRECT("R9.Web!D"&amp;SUM(18,38*37,5))))</f>
        <v>N/D</v>
      </c>
      <c r="BV24" s="215" t="str" cm="1">
        <f t="array" aca="1" ref="BV24" ca="1">IF($B24="","",IF(ISBLANK(INDIRECT("R9.Web!D"&amp;SUM(18,38*38,5))),"",INDIRECT("R9.Web!D"&amp;SUM(18,38*38,5))))</f>
        <v>N/D</v>
      </c>
      <c r="BW24" s="215" t="str" cm="1">
        <f t="array" aca="1" ref="BW24" ca="1">IF($B24="","",IF(ISBLANK(INDIRECT("R9.Web!D"&amp;SUM(18,38*39,5))),"",INDIRECT("R9.Web!D"&amp;SUM(18,38*39,5))))</f>
        <v>N/D</v>
      </c>
      <c r="BX24" s="215" t="str" cm="1">
        <f t="array" aca="1" ref="BX24" ca="1">IF($B24="","",IF(ISBLANK(INDIRECT("R9.Web!D"&amp;SUM(18,38*40,5))),"",INDIRECT("R9.Web!D"&amp;SUM(18,38*40,5))))</f>
        <v>N/D</v>
      </c>
      <c r="BY24" s="215" t="str" cm="1">
        <f t="array" aca="1" ref="BY24" ca="1">IF($B24="","",IF(ISBLANK(INDIRECT("R9.Web!D"&amp;SUM(18,38*41,5))),"",INDIRECT("R9.Web!D"&amp;SUM(18,38*41,5))))</f>
        <v>N/T</v>
      </c>
      <c r="BZ24" s="215" t="str" cm="1">
        <f t="array" aca="1" ref="BZ24" ca="1">IF($B24="","",IF(ISBLANK(INDIRECT("R9.Web!D"&amp;SUM(18,38*42,5))),"",INDIRECT("R9.Web!D"&amp;SUM(18,38*42,5))))</f>
        <v>N/T</v>
      </c>
      <c r="CA24" s="215" t="str" cm="1">
        <f t="array" aca="1" ref="CA24" ca="1">IF($B24="","",IF(ISBLANK(INDIRECT("R9.Web!D"&amp;SUM(18,38*43,5))),"",INDIRECT("R9.Web!D"&amp;SUM(18,38*43,5))))</f>
        <v>N/D</v>
      </c>
      <c r="CB24" s="215" t="str" cm="1">
        <f t="array" aca="1" ref="CB24" ca="1">IF($B24="","",IF(ISBLANK(INDIRECT("R9.Web!D"&amp;SUM(18,38*44,5))),"",INDIRECT("R9.Web!D"&amp;SUM(18,38*44,5))))</f>
        <v>N/T</v>
      </c>
      <c r="CC24" s="215" t="str" cm="1">
        <f t="array" aca="1" ref="CC24" ca="1">IF($B24="","",IF(ISBLANK(INDIRECT("R9.Web!D"&amp;SUM(18,38*45,5))),"",INDIRECT("R9.Web!D"&amp;SUM(18,38*45,5))))</f>
        <v>N/T</v>
      </c>
      <c r="CD24" s="215" t="str" cm="1">
        <f t="array" aca="1" ref="CD24" ca="1">IF($B24="","",IF(ISBLANK(INDIRECT("R9.Web!D"&amp;SUM(18,38*46,5))),"",INDIRECT("R9.Web!D"&amp;SUM(18,38*46,5))))</f>
        <v>N/T</v>
      </c>
      <c r="CE24" s="215" t="str" cm="1">
        <f t="array" aca="1" ref="CE24" ca="1">IF($B24="","",IF(ISBLANK(INDIRECT("R9.Web!D"&amp;SUM(18,38*47,5))),"",INDIRECT("R9.Web!D"&amp;SUM(18,38*47,5))))</f>
        <v>N/D</v>
      </c>
      <c r="CF24" s="215" t="str" cm="1">
        <f t="array" aca="1" ref="CF24" ca="1">IF($B24="","",IF(ISBLANK(INDIRECT("R9.Web!D"&amp;SUM(18,38*48,5))),"",INDIRECT("R9.Web!D"&amp;SUM(18,38*48,5))))</f>
        <v>N/T</v>
      </c>
      <c r="CG24" s="215" t="str" cm="1">
        <f t="array" aca="1" ref="CG24" ca="1">IF($B24="","",IF(ISBLANK(INDIRECT("R9.Web!D"&amp;SUM(18,38*49,5))),"",INDIRECT("R9.Web!D"&amp;SUM(18,38*49,5))))</f>
        <v>N/T</v>
      </c>
      <c r="CH24" s="215" t="str" cm="1">
        <f t="array" aca="1" ref="CH24" ca="1">IF($B24="","",IF(ISBLANK(INDIRECT("R11.Software!D"&amp;SUM(18,38*0,5))),"",INDIRECT("R11.Software!D"&amp;SUM(18,38*0,5))))</f>
        <v>N/T</v>
      </c>
      <c r="CI24" s="215" t="str" cm="1">
        <f t="array" aca="1" ref="CI24" ca="1">IF($B24="","",IF(ISBLANK(INDIRECT("R11.Software!D"&amp;SUM(18,38*1,5))),"",INDIRECT("R11.Software!D"&amp;SUM(18,38*1,5))))</f>
        <v>N/T</v>
      </c>
      <c r="CJ24" s="215" t="str" cm="1">
        <f t="array" aca="1" ref="CJ24" ca="1">IF($B24="","",IF(ISBLANK(INDIRECT("R11.Software!D"&amp;SUM(18,38*2,5))),"",INDIRECT("R11.Software!D"&amp;SUM(18,38*2,5))))</f>
        <v>N/T</v>
      </c>
      <c r="CK24" s="215" t="str" cm="1">
        <f t="array" aca="1" ref="CK24" ca="1">IF($B24="","",IF(ISBLANK(INDIRECT("R11.Software!D"&amp;SUM(18,38*3,5))),"",INDIRECT("R11.Software!D"&amp;SUM(18,38*3,5))))</f>
        <v>N/T</v>
      </c>
      <c r="CL24" s="215" t="str" cm="1">
        <f t="array" aca="1" ref="CL24" ca="1">IF($B24="","",IF(ISBLANK(INDIRECT("R11.Software!D"&amp;SUM(18,38*4,5))),"",INDIRECT("R11.Software!D"&amp;SUM(18,38*4,5))))</f>
        <v>N/T</v>
      </c>
      <c r="CM24" s="215" t="str" cm="1">
        <f t="array" aca="1" ref="CM24" ca="1">IF($B24="","",IF(ISBLANK(INDIRECT("R11.Software!D"&amp;SUM(18,38*5,5))),"",INDIRECT("R11.Software!D"&amp;SUM(18,38*5,5))))</f>
        <v>N/T</v>
      </c>
      <c r="CN24" s="215" t="str" cm="1">
        <f t="array" aca="1" ref="CN24" ca="1">IF($B24="","",IF(ISBLANK(INDIRECT("R12.ServiciosApoyo!D"&amp;SUM(18,38*0,5))),"",INDIRECT("R12.ServiciosApoyo!D"&amp;SUM(18,38*0,5))))</f>
        <v>N/T</v>
      </c>
      <c r="CO24" s="215" t="str" cm="1">
        <f t="array" aca="1" ref="CO24" ca="1">IF($B24="","",IF(ISBLANK(INDIRECT("R12.ServiciosApoyo!D"&amp;SUM(18,38*1,5))),"",INDIRECT("R12.ServiciosApoyo!D"&amp;SUM(18,38*1,5))))</f>
        <v>N/T</v>
      </c>
      <c r="CP24" s="215" t="str" cm="1">
        <f t="array" aca="1" ref="CP24" ca="1">IF($B24="","",IF(ISBLANK(INDIRECT("R12.ServiciosApoyo!D"&amp;SUM(18,38*2,5))),"",INDIRECT("R12.ServiciosApoyo!D"&amp;SUM(18,38*2,5))))</f>
        <v>N/T</v>
      </c>
      <c r="CQ24" s="215" t="str" cm="1">
        <f t="array" aca="1" ref="CQ24" ca="1">IF($B24="","",IF(ISBLANK(INDIRECT("R12.ServiciosApoyo!D"&amp;SUM(18,38*3,5))),"",INDIRECT("R12.ServiciosApoyo!D"&amp;SUM(18,38*3,5))))</f>
        <v>N/T</v>
      </c>
      <c r="CR24" s="215" t="str" cm="1">
        <f t="array" aca="1" ref="CR24" ca="1">IF($B24="","",IF(ISBLANK(INDIRECT("R12.ServiciosApoyo!D"&amp;SUM(18,38*4,5))),"",INDIRECT("R12.ServiciosApoyo!D"&amp;SUM(18,38*4,5))))</f>
        <v>N/T</v>
      </c>
      <c r="CU24" s="100"/>
      <c r="CV24" s="29"/>
      <c r="CW24" s="29"/>
      <c r="CX24" s="29"/>
    </row>
    <row r="25" spans="2:102" ht="20.25">
      <c r="B25" s="181" t="n" cm="1">
        <f t="array" ref="B25">IFERROR(INDEX('03.Muestra'!$B$8:$B$42,SMALL(IF("Página Web"='03.Muestra'!$D$8:$D$42,ROW('03.Muestra'!$B$8:$B$42)-MIN(ROW('03.Muestra'!$D$8:$D$42))+1,""),ROW()-19)),"")</f>
        <v>1.0</v>
      </c>
      <c r="C25" s="97" t="str" cm="1">
        <f t="array" ref="C25">IFERROR(INDEX('03.Muestra'!$C$8:$C$42,SMALL(IF("Página Web"='03.Muestra'!$D$8:$D$42,ROW('03.Muestra'!$C$8:$C$42)-MIN(ROW('03.Muestra'!$D$8:$D$42))+1,""),ROW()-19)),"")</f>
        <v>Home - PortCastelló</v>
      </c>
      <c r="D25" s="98" t="str" cm="1">
        <f t="array" ref="D25">IFERROR(INDEX('03.Muestra'!$F$8:$F$42,SMALL(IF("Página Web"='03.Muestra'!$D$8:$D$42,ROW('03.Muestra'!$F$8:$F$42)-MIN(ROW('03.Muestra'!$D$8:$D$42))+1,""),ROW()-19)),"")</f>
        <v>https://www.portcastello.com/</v>
      </c>
      <c r="E25" s="215" t="str" cm="1">
        <f t="array" aca="1" ref="E25" ca="1">IF($B25="","",IF(ISBLANK(INDIRECT("R5.Genéricos!D"&amp;SUM(18,38*0,6))),"",INDIRECT("R5.Genéricos!D"&amp;SUM(18,38*0,6))))</f>
        <v>N/T</v>
      </c>
      <c r="F25" s="215" t="str" cm="1">
        <f t="array" aca="1" ref="F25" ca="1">IF($B25="","",IF(ISBLANK(INDIRECT("R5.Genéricos!D"&amp;SUM(18,38*1,6))),"",INDIRECT("R5.Genéricos!D"&amp;SUM(18,38*1,6))))</f>
        <v>N/T</v>
      </c>
      <c r="G25" s="215" t="str" cm="1">
        <f t="array" aca="1" ref="G25" ca="1">IF($B25="","",IF(ISBLANK(INDIRECT("R5.Genéricos!D"&amp;SUM(18,38*2,6))),"",INDIRECT("R5.Genéricos!D"&amp;SUM(18,38*2,6))))</f>
        <v>N/T</v>
      </c>
      <c r="H25" s="215" t="str" cm="1">
        <f t="array" aca="1" ref="H25" ca="1">IF($B25="","",IF(ISBLANK(INDIRECT("R6.Voz!D"&amp;SUM(18,38*0,6))),"",INDIRECT("R6.Voz!D"&amp;SUM(18,38*0,6))))</f>
        <v>N/T</v>
      </c>
      <c r="I25" s="215" t="str" cm="1">
        <f t="array" aca="1" ref="I25" ca="1">IF($B25="","",IF(ISBLANK(INDIRECT("R6.Voz!D"&amp;SUM(18,38*1,6))),"",INDIRECT("R6.Voz!D"&amp;SUM(18,38*1,6))))</f>
        <v>N/T</v>
      </c>
      <c r="J25" s="215" t="str" cm="1">
        <f t="array" aca="1" ref="J25" ca="1">IF($B25="","",IF(ISBLANK(INDIRECT("R6.Voz!D"&amp;SUM(18,38*2,6))),"",INDIRECT("R6.Voz!D"&amp;SUM(18,38*2,6))))</f>
        <v>N/T</v>
      </c>
      <c r="K25" s="215" t="str" cm="1">
        <f t="array" aca="1" ref="K25" ca="1">IF($B25="","",IF(ISBLANK(INDIRECT("R6.Voz!D"&amp;SUM(18,38*3,6))),"",INDIRECT("R6.Voz!D"&amp;SUM(18,38*3,6))))</f>
        <v>N/T</v>
      </c>
      <c r="L25" s="215" t="str" cm="1">
        <f t="array" aca="1" ref="L25" ca="1">IF($B25="","",IF(ISBLANK(INDIRECT("R6.Voz!D"&amp;SUM(18,38*4,6))),"",INDIRECT("R6.Voz!D"&amp;SUM(18,38*4,6))))</f>
        <v>N/T</v>
      </c>
      <c r="M25" s="215" t="str" cm="1">
        <f t="array" aca="1" ref="M25" ca="1">IF($B25="","",IF(ISBLANK(INDIRECT("R6.Voz!D"&amp;SUM(18,38*5,6))),"",INDIRECT("R6.Voz!D"&amp;SUM(18,38*5,6))))</f>
        <v>N/T</v>
      </c>
      <c r="N25" s="215" t="str" cm="1">
        <f t="array" aca="1" ref="N25" ca="1">IF($B25="","",IF(ISBLANK(INDIRECT("R6.Voz!D"&amp;SUM(18,38*6,6))),"",INDIRECT("R6.Voz!D"&amp;SUM(18,38*6,6))))</f>
        <v>N/T</v>
      </c>
      <c r="O25" s="215" t="str" cm="1">
        <f t="array" aca="1" ref="O25" ca="1">IF($B25="","",IF(ISBLANK(INDIRECT("R6.Voz!D"&amp;SUM(18,38*7,6))),"",INDIRECT("R6.Voz!D"&amp;SUM(18,38*7,6))))</f>
        <v>N/T</v>
      </c>
      <c r="P25" s="215" t="str" cm="1">
        <f t="array" aca="1" ref="P25" ca="1">IF($B25="","",IF(ISBLANK(INDIRECT("R6.Voz!D"&amp;SUM(18,38*8,6))),"",INDIRECT("R6.Voz!D"&amp;SUM(18,38*8,6))))</f>
        <v>N/T</v>
      </c>
      <c r="Q25" s="215" t="str" cm="1">
        <f t="array" aca="1" ref="Q25" ca="1">IF($B25="","",IF(ISBLANK(INDIRECT("R6.Voz!D"&amp;SUM(18,38*9,6))),"",INDIRECT("R6.Voz!D"&amp;SUM(18,38*9,6))))</f>
        <v>N/T</v>
      </c>
      <c r="R25" s="215" t="str" cm="1">
        <f t="array" aca="1" ref="R25" ca="1">IF($B25="","",IF(ISBLANK(INDIRECT("R6.Voz!D"&amp;SUM(18,38*10,6))),"",INDIRECT("R6.Voz!D"&amp;SUM(18,38*10,6))))</f>
        <v>N/T</v>
      </c>
      <c r="S25" s="215" t="str" cm="1">
        <f t="array" aca="1" ref="S25" ca="1">IF($B25="","",IF(ISBLANK(INDIRECT("R6.Voz!D"&amp;SUM(18,38*11,6))),"",INDIRECT("R6.Voz!D"&amp;SUM(18,38*11,6))))</f>
        <v>N/T</v>
      </c>
      <c r="T25" s="215" t="str" cm="1">
        <f t="array" aca="1" ref="T25" ca="1">IF($B25="","",IF(ISBLANK(INDIRECT("R6.Voz!D"&amp;SUM(18,38*12,6))),"",INDIRECT("R6.Voz!D"&amp;SUM(18,38*12,6))))</f>
        <v>N/T</v>
      </c>
      <c r="U25" s="215" t="str" cm="1">
        <f t="array" aca="1" ref="U25" ca="1">IF($B25="","",IF(ISBLANK(INDIRECT("R6.Voz!D"&amp;SUM(18,38*13,6))),"",INDIRECT("R6.Voz!D"&amp;SUM(18,38*13,6))))</f>
        <v>N/T</v>
      </c>
      <c r="V25" s="215" t="str" cm="1">
        <f t="array" aca="1" ref="V25" ca="1">IF($B25="","",IF(ISBLANK(INDIRECT("R6.Voz!D"&amp;SUM(18,38*14,6))),"",INDIRECT("R6.Voz!D"&amp;SUM(18,38*14,6))))</f>
        <v>N/T</v>
      </c>
      <c r="W25" s="215" t="str" cm="1">
        <f t="array" aca="1" ref="W25" ca="1">IF($B25="","",IF(ISBLANK(INDIRECT("R6.Voz!D"&amp;SUM(18,38*15,6))),"",INDIRECT("R6.Voz!D"&amp;SUM(18,38*15,6))))</f>
        <v>N/T</v>
      </c>
      <c r="X25" s="215" t="str" cm="1">
        <f t="array" aca="1" ref="X25" ca="1">IF($B25="","",IF(ISBLANK(INDIRECT("R6.Voz!D"&amp;SUM(18,38*16,6))),"",INDIRECT("R6.Voz!D"&amp;SUM(18,38*16,6))))</f>
        <v>N/T</v>
      </c>
      <c r="Y25" s="215" t="str" cm="1">
        <f t="array" aca="1" ref="Y25" ca="1">IF($B25="","",IF(ISBLANK(INDIRECT("R6.Voz!D"&amp;SUM(18,38*17,6))),"",INDIRECT("R6.Voz!D"&amp;SUM(18,38*17,6))))</f>
        <v>N/T</v>
      </c>
      <c r="Z25" s="215" t="str" cm="1">
        <f t="array" aca="1" ref="Z25" ca="1">IF($B25="","",IF(ISBLANK(INDIRECT("R6.Voz!D"&amp;SUM(18,38*18,6))),"",INDIRECT("R6.Voz!D"&amp;SUM(18,38*18,6))))</f>
        <v>N/T</v>
      </c>
      <c r="AA25" s="215" t="str" cm="1">
        <f t="array" aca="1" ref="AA25" ca="1">IF($B25="","",IF(ISBLANK(INDIRECT("R7.Video!D"&amp;SUM(18,38*0,6))),"",INDIRECT("R7.Video!D"&amp;SUM(18,38*0,6))))</f>
        <v>N/T</v>
      </c>
      <c r="AB25" s="215" t="str" cm="1">
        <f t="array" aca="1" ref="AB25" ca="1">IF($B25="","",IF(ISBLANK(INDIRECT("R7.Video!D"&amp;SUM(18,38*1,6))),"",INDIRECT("R7.Video!D"&amp;SUM(18,38*1,6))))</f>
        <v>N/T</v>
      </c>
      <c r="AC25" s="215" t="str" cm="1">
        <f t="array" aca="1" ref="AC25" ca="1">IF($B25="","",IF(ISBLANK(INDIRECT("R7.Video!D"&amp;SUM(18,38*2,6))),"",INDIRECT("R7.Video!D"&amp;SUM(18,38*2,6))))</f>
        <v>N/T</v>
      </c>
      <c r="AD25" s="215" t="str" cm="1">
        <f t="array" aca="1" ref="AD25" ca="1">IF($B25="","",IF(ISBLANK(INDIRECT("R7.Video!D"&amp;SUM(18,38*3,6))),"",INDIRECT("R7.Video!D"&amp;SUM(18,38*3,6))))</f>
        <v>N/T</v>
      </c>
      <c r="AE25" s="215" t="str" cm="1">
        <f t="array" aca="1" ref="AE25" ca="1">IF($B25="","",IF(ISBLANK(INDIRECT("R7.Video!D"&amp;SUM(18,38*4,6))),"",INDIRECT("R7.Video!D"&amp;SUM(18,38*4,6))))</f>
        <v>N/T</v>
      </c>
      <c r="AF25" s="215" t="str" cm="1">
        <f t="array" aca="1" ref="AF25" ca="1">IF($B25="","",IF(ISBLANK(INDIRECT("R7.Video!D"&amp;SUM(18,38*5,6))),"",INDIRECT("R7.Video!D"&amp;SUM(18,38*5,6))))</f>
        <v>N/T</v>
      </c>
      <c r="AG25" s="215" t="str" cm="1">
        <f t="array" aca="1" ref="AG25" ca="1">IF($B25="","",IF(ISBLANK(INDIRECT("R7.Video!D"&amp;SUM(18,38*6,6))),"",INDIRECT("R7.Video!D"&amp;SUM(18,38*6,6))))</f>
        <v>N/T</v>
      </c>
      <c r="AH25" s="215" t="str" cm="1">
        <f t="array" aca="1" ref="AH25" ca="1">IF($B25="","",IF(ISBLANK(INDIRECT("R7.Video!D"&amp;SUM(18,38*7,6))),"",INDIRECT("R7.Video!D"&amp;SUM(18,38*7,6))))</f>
        <v>N/T</v>
      </c>
      <c r="AI25" s="215" t="str" cm="1">
        <f t="array" aca="1" ref="AI25" ca="1">IF($B25="","",IF(ISBLANK(INDIRECT("R7.Video!D"&amp;SUM(18,38*8,6))),"",INDIRECT("R7.Video!D"&amp;SUM(18,38*8,6))))</f>
        <v>N/T</v>
      </c>
      <c r="AJ25" s="215" t="str" cm="1">
        <f t="array" aca="1" ref="AJ25" ca="1">IF($B25="","",IF(ISBLANK(INDIRECT("R9.Web!D"&amp;SUM(18,38*0,6))),"",INDIRECT("R9.Web!D"&amp;SUM(18,38*0,6))))</f>
        <v>N/D</v>
      </c>
      <c r="AK25" s="215" t="str" cm="1">
        <f t="array" aca="1" ref="AK25" ca="1">IF($B25="","",IF(ISBLANK(INDIRECT("R9.Web!D"&amp;SUM(18,38*1,6))),"",INDIRECT("R9.Web!D"&amp;SUM(18,38*1,6))))</f>
        <v>N/T</v>
      </c>
      <c r="AL25" s="215" t="str" cm="1">
        <f t="array" aca="1" ref="AL25" ca="1">IF($B25="","",IF(ISBLANK(INDIRECT("R9.Web!D"&amp;SUM(18,38*2,6))),"",INDIRECT("R9.Web!D"&amp;SUM(18,38*2,6))))</f>
        <v>N/T</v>
      </c>
      <c r="AM25" s="215" t="str" cm="1">
        <f t="array" aca="1" ref="AM25" ca="1">IF($B25="","",IF(ISBLANK(INDIRECT("R9.Web!D"&amp;SUM(18,38*3,6))),"",INDIRECT("R9.Web!D"&amp;SUM(18,38*3,6))))</f>
        <v>N/T</v>
      </c>
      <c r="AN25" s="215" t="str" cm="1">
        <f t="array" aca="1" ref="AN25" ca="1">IF($B25="","",IF(ISBLANK(INDIRECT("R9.Web!D"&amp;SUM(18,38*4,6))),"",INDIRECT("R9.Web!D"&amp;SUM(18,38*4,6))))</f>
        <v>N/T</v>
      </c>
      <c r="AO25" s="215" t="str" cm="1">
        <f t="array" aca="1" ref="AO25" ca="1">IF($B25="","",IF(ISBLANK(INDIRECT("R9.Web!D"&amp;SUM(18,38*5,6))),"",INDIRECT("R9.Web!D"&amp;SUM(18,38*5,6))))</f>
        <v>N/D</v>
      </c>
      <c r="AP25" s="215" t="str" cm="1">
        <f t="array" aca="1" ref="AP25" ca="1">IF($B25="","",IF(ISBLANK(INDIRECT("R9.Web!D"&amp;SUM(18,38*6,6))),"",INDIRECT("R9.Web!D"&amp;SUM(18,38*6,6))))</f>
        <v>N/T</v>
      </c>
      <c r="AQ25" s="215" t="str" cm="1">
        <f t="array" aca="1" ref="AQ25" ca="1">IF($B25="","",IF(ISBLANK(INDIRECT("R9.Web!D"&amp;SUM(18,38*7,6))),"",INDIRECT("R9.Web!D"&amp;SUM(18,38*7,6))))</f>
        <v>N/T</v>
      </c>
      <c r="AR25" s="215" t="str" cm="1">
        <f t="array" aca="1" ref="AR25" ca="1">IF($B25="","",IF(ISBLANK(INDIRECT("R9.Web!D"&amp;SUM(18,38*8,6))),"",INDIRECT("R9.Web!D"&amp;SUM(18,38*8,6))))</f>
        <v>N/D</v>
      </c>
      <c r="AS25" s="215" t="str" cm="1">
        <f t="array" aca="1" ref="AS25" ca="1">IF($B25="","",IF(ISBLANK(INDIRECT("R9.Web!D"&amp;SUM(18,38*9,6))),"",INDIRECT("R9.Web!D"&amp;SUM(18,38*9,6))))</f>
        <v>N/D</v>
      </c>
      <c r="AT25" s="215" t="str" cm="1">
        <f t="array" aca="1" ref="AT25" ca="1">IF($B25="","",IF(ISBLANK(INDIRECT("R9.Web!D"&amp;SUM(18,38*10,6))),"",INDIRECT("R9.Web!D"&amp;SUM(18,38*10,6))))</f>
        <v>N/T</v>
      </c>
      <c r="AU25" s="215" t="str" cm="1">
        <f t="array" aca="1" ref="AU25" ca="1">IF($B25="","",IF(ISBLANK(INDIRECT("R9.Web!D"&amp;SUM(18,38*11,6))),"",INDIRECT("R9.Web!D"&amp;SUM(18,38*11,6))))</f>
        <v>N/T</v>
      </c>
      <c r="AV25" s="215" t="str" cm="1">
        <f t="array" aca="1" ref="AV25" ca="1">IF($B25="","",IF(ISBLANK(INDIRECT("R9.Web!D"&amp;SUM(18,38*12,6))),"",INDIRECT("R9.Web!D"&amp;SUM(18,38*12,6))))</f>
        <v>N/D</v>
      </c>
      <c r="AW25" s="215" t="str" cm="1">
        <f t="array" aca="1" ref="AW25" ca="1">IF($B25="","",IF(ISBLANK(INDIRECT("R9.Web!D"&amp;SUM(18,38*13,6))),"",INDIRECT("R9.Web!D"&amp;SUM(18,38*13,6))))</f>
        <v>N/T</v>
      </c>
      <c r="AX25" s="215" t="str" cm="1">
        <f t="array" aca="1" ref="AX25" ca="1">IF($B25="","",IF(ISBLANK(INDIRECT("R9.Web!D"&amp;SUM(18,38*14,6))),"",INDIRECT("R9.Web!D"&amp;SUM(18,38*14,6))))</f>
        <v>N/T</v>
      </c>
      <c r="AY25" s="215" t="str" cm="1">
        <f t="array" aca="1" ref="AY25" ca="1">IF($B25="","",IF(ISBLANK(INDIRECT("R9.Web!D"&amp;SUM(18,38*15,6))),"",INDIRECT("R9.Web!D"&amp;SUM(18,38*15,6))))</f>
        <v>N/D</v>
      </c>
      <c r="AZ25" s="215" t="str" cm="1">
        <f t="array" aca="1" ref="AZ25" ca="1">IF($B25="","",IF(ISBLANK(INDIRECT("R9.Web!D"&amp;SUM(18,38*16,6))),"",INDIRECT("R9.Web!D"&amp;SUM(18,38*16,6))))</f>
        <v>N/T</v>
      </c>
      <c r="BA25" s="215" t="str" cm="1">
        <f t="array" aca="1" ref="BA25" ca="1">IF($B25="","",IF(ISBLANK(INDIRECT("R9.Web!D"&amp;SUM(18,38*17,6))),"",INDIRECT("R9.Web!D"&amp;SUM(18,38*17,6))))</f>
        <v>N/D</v>
      </c>
      <c r="BB25" s="215" t="str" cm="1">
        <f t="array" aca="1" ref="BB25" ca="1">IF($B25="","",IF(ISBLANK(INDIRECT("R9.Web!D"&amp;SUM(18,38*18,6))),"",INDIRECT("R9.Web!D"&amp;SUM(18,38*18,6))))</f>
        <v>N/T</v>
      </c>
      <c r="BC25" s="215" t="str" cm="1">
        <f t="array" aca="1" ref="BC25" ca="1">IF($B25="","",IF(ISBLANK(INDIRECT("R9.Web!D"&amp;SUM(18,38*19,6))),"",INDIRECT("R9.Web!D"&amp;SUM(18,38*19,6))))</f>
        <v>N/D</v>
      </c>
      <c r="BD25" s="215" t="str" cm="1">
        <f t="array" aca="1" ref="BD25" ca="1">IF($B25="","",IF(ISBLANK(INDIRECT("R9.Web!D"&amp;SUM(18,38*20,6))),"",INDIRECT("R9.Web!D"&amp;SUM(18,38*20,6))))</f>
        <v>N/T</v>
      </c>
      <c r="BE25" s="215" t="str" cm="1">
        <f t="array" aca="1" ref="BE25" ca="1">IF($B25="","",IF(ISBLANK(INDIRECT("R9.Web!D"&amp;SUM(18,38*21,6))),"",INDIRECT("R9.Web!D"&amp;SUM(18,38*21,6))))</f>
        <v>N/T</v>
      </c>
      <c r="BF25" s="215" t="str" cm="1">
        <f t="array" aca="1" ref="BF25" ca="1">IF($B25="","",IF(ISBLANK(INDIRECT("R9.Web!D"&amp;SUM(18,38*22,6))),"",INDIRECT("R9.Web!D"&amp;SUM(18,38*22,6))))</f>
        <v>N/D</v>
      </c>
      <c r="BG25" s="215" t="str" cm="1">
        <f t="array" aca="1" ref="BG25" ca="1">IF($B25="","",IF(ISBLANK(INDIRECT("R9.Web!D"&amp;SUM(18,38*23,6))),"",INDIRECT("R9.Web!D"&amp;SUM(18,38*23,6))))</f>
        <v>N/D</v>
      </c>
      <c r="BH25" s="215" t="str" cm="1">
        <f t="array" aca="1" ref="BH25" ca="1">IF($B25="","",IF(ISBLANK(INDIRECT("R9.Web!D"&amp;SUM(18,38*24,6))),"",INDIRECT("R9.Web!D"&amp;SUM(18,38*24,6))))</f>
        <v>N/T</v>
      </c>
      <c r="BI25" s="215" t="str" cm="1">
        <f t="array" aca="1" ref="BI25" ca="1">IF($B25="","",IF(ISBLANK(INDIRECT("R9.Web!D"&amp;SUM(18,38*25,6))),"",INDIRECT("R9.Web!D"&amp;SUM(18,38*25,6))))</f>
        <v>N/D</v>
      </c>
      <c r="BJ25" s="215" t="str" cm="1">
        <f t="array" aca="1" ref="BJ25" ca="1">IF($B25="","",IF(ISBLANK(INDIRECT("R9.Web!D"&amp;SUM(18,38*26,6))),"",INDIRECT("R9.Web!D"&amp;SUM(18,38*26,6))))</f>
        <v>N/D</v>
      </c>
      <c r="BK25" s="215" t="str" cm="1">
        <f t="array" aca="1" ref="BK25" ca="1">IF($B25="","",IF(ISBLANK(INDIRECT("R9.Web!D"&amp;SUM(18,38*27,6))),"",INDIRECT("R9.Web!D"&amp;SUM(18,38*27,6))))</f>
        <v>N/D</v>
      </c>
      <c r="BL25" s="215" t="str" cm="1">
        <f t="array" aca="1" ref="BL25" ca="1">IF($B25="","",IF(ISBLANK(INDIRECT("R9.Web!D"&amp;SUM(18,38*28,6))),"",INDIRECT("R9.Web!D"&amp;SUM(18,38*28,6))))</f>
        <v>N/D</v>
      </c>
      <c r="BM25" s="215" t="str" cm="1">
        <f t="array" aca="1" ref="BM25" ca="1">IF($B25="","",IF(ISBLANK(INDIRECT("R9.Web!D"&amp;SUM(18,38*29,6))),"",INDIRECT("R9.Web!D"&amp;SUM(18,38*29,6))))</f>
        <v>N/D</v>
      </c>
      <c r="BN25" s="215" t="str" cm="1">
        <f t="array" aca="1" ref="BN25" ca="1">IF($B25="","",IF(ISBLANK(INDIRECT("R9.Web!D"&amp;SUM(18,38*30,6))),"",INDIRECT("R9.Web!D"&amp;SUM(18,38*30,6))))</f>
        <v>N/T</v>
      </c>
      <c r="BO25" s="215" t="str" cm="1">
        <f t="array" aca="1" ref="BO25" ca="1">IF($B25="","",IF(ISBLANK(INDIRECT("R9.Web!D"&amp;SUM(18,38*31,6))),"",INDIRECT("R9.Web!D"&amp;SUM(18,38*31,6))))</f>
        <v>N/D</v>
      </c>
      <c r="BP25" s="215" t="str" cm="1">
        <f t="array" aca="1" ref="BP25" ca="1">IF($B25="","",IF(ISBLANK(INDIRECT("R9.Web!D"&amp;SUM(18,38*32,6))),"",INDIRECT("R9.Web!D"&amp;SUM(18,38*32,6))))</f>
        <v>N/T</v>
      </c>
      <c r="BQ25" s="215" t="str" cm="1">
        <f t="array" aca="1" ref="BQ25" ca="1">IF($B25="","",IF(ISBLANK(INDIRECT("R9.Web!D"&amp;SUM(18,38*33,6))),"",INDIRECT("R9.Web!D"&amp;SUM(18,38*33,6))))</f>
        <v>N/T</v>
      </c>
      <c r="BR25" s="215" t="str" cm="1">
        <f t="array" aca="1" ref="BR25" ca="1">IF($B25="","",IF(ISBLANK(INDIRECT("R9.Web!D"&amp;SUM(18,38*34,6))),"",INDIRECT("R9.Web!D"&amp;SUM(18,38*34,6))))</f>
        <v>N/D</v>
      </c>
      <c r="BS25" s="215" t="str" cm="1">
        <f t="array" aca="1" ref="BS25" ca="1">IF($B25="","",IF(ISBLANK(INDIRECT("R9.Web!D"&amp;SUM(18,38*35,6))),"",INDIRECT("R9.Web!D"&amp;SUM(18,38*35,6))))</f>
        <v>N/T</v>
      </c>
      <c r="BT25" s="215" t="str" cm="1">
        <f t="array" aca="1" ref="BT25" ca="1">IF($B25="","",IF(ISBLANK(INDIRECT("R9.Web!D"&amp;SUM(18,38*36,6))),"",INDIRECT("R9.Web!D"&amp;SUM(18,38*36,6))))</f>
        <v>N/D</v>
      </c>
      <c r="BU25" s="215" t="str" cm="1">
        <f t="array" aca="1" ref="BU25" ca="1">IF($B25="","",IF(ISBLANK(INDIRECT("R9.Web!D"&amp;SUM(18,38*37,6))),"",INDIRECT("R9.Web!D"&amp;SUM(18,38*37,6))))</f>
        <v>N/D</v>
      </c>
      <c r="BV25" s="215" t="str" cm="1">
        <f t="array" aca="1" ref="BV25" ca="1">IF($B25="","",IF(ISBLANK(INDIRECT("R9.Web!D"&amp;SUM(18,38*38,6))),"",INDIRECT("R9.Web!D"&amp;SUM(18,38*38,6))))</f>
        <v>N/D</v>
      </c>
      <c r="BW25" s="215" t="str" cm="1">
        <f t="array" aca="1" ref="BW25" ca="1">IF($B25="","",IF(ISBLANK(INDIRECT("R9.Web!D"&amp;SUM(18,38*39,6))),"",INDIRECT("R9.Web!D"&amp;SUM(18,38*39,6))))</f>
        <v>N/D</v>
      </c>
      <c r="BX25" s="215" t="str" cm="1">
        <f t="array" aca="1" ref="BX25" ca="1">IF($B25="","",IF(ISBLANK(INDIRECT("R9.Web!D"&amp;SUM(18,38*40,6))),"",INDIRECT("R9.Web!D"&amp;SUM(18,38*40,6))))</f>
        <v>N/D</v>
      </c>
      <c r="BY25" s="215" t="str" cm="1">
        <f t="array" aca="1" ref="BY25" ca="1">IF($B25="","",IF(ISBLANK(INDIRECT("R9.Web!D"&amp;SUM(18,38*41,6))),"",INDIRECT("R9.Web!D"&amp;SUM(18,38*41,6))))</f>
        <v>N/T</v>
      </c>
      <c r="BZ25" s="215" t="str" cm="1">
        <f t="array" aca="1" ref="BZ25" ca="1">IF($B25="","",IF(ISBLANK(INDIRECT("R9.Web!D"&amp;SUM(18,38*42,6))),"",INDIRECT("R9.Web!D"&amp;SUM(18,38*42,6))))</f>
        <v>N/T</v>
      </c>
      <c r="CA25" s="215" t="str" cm="1">
        <f t="array" aca="1" ref="CA25" ca="1">IF($B25="","",IF(ISBLANK(INDIRECT("R9.Web!D"&amp;SUM(18,38*43,6))),"",INDIRECT("R9.Web!D"&amp;SUM(18,38*43,6))))</f>
        <v>N/D</v>
      </c>
      <c r="CB25" s="215" t="str" cm="1">
        <f t="array" aca="1" ref="CB25" ca="1">IF($B25="","",IF(ISBLANK(INDIRECT("R9.Web!D"&amp;SUM(18,38*44,6))),"",INDIRECT("R9.Web!D"&amp;SUM(18,38*44,6))))</f>
        <v>N/T</v>
      </c>
      <c r="CC25" s="215" t="str" cm="1">
        <f t="array" aca="1" ref="CC25" ca="1">IF($B25="","",IF(ISBLANK(INDIRECT("R9.Web!D"&amp;SUM(18,38*45,6))),"",INDIRECT("R9.Web!D"&amp;SUM(18,38*45,6))))</f>
        <v>N/T</v>
      </c>
      <c r="CD25" s="215" t="str" cm="1">
        <f t="array" aca="1" ref="CD25" ca="1">IF($B25="","",IF(ISBLANK(INDIRECT("R9.Web!D"&amp;SUM(18,38*46,6))),"",INDIRECT("R9.Web!D"&amp;SUM(18,38*46,6))))</f>
        <v>N/T</v>
      </c>
      <c r="CE25" s="215" t="str" cm="1">
        <f t="array" aca="1" ref="CE25" ca="1">IF($B25="","",IF(ISBLANK(INDIRECT("R9.Web!D"&amp;SUM(18,38*47,6))),"",INDIRECT("R9.Web!D"&amp;SUM(18,38*47,6))))</f>
        <v>N/D</v>
      </c>
      <c r="CF25" s="215" t="str" cm="1">
        <f t="array" aca="1" ref="CF25" ca="1">IF($B25="","",IF(ISBLANK(INDIRECT("R9.Web!D"&amp;SUM(18,38*48,6))),"",INDIRECT("R9.Web!D"&amp;SUM(18,38*48,6))))</f>
        <v>N/T</v>
      </c>
      <c r="CG25" s="215" t="str" cm="1">
        <f t="array" aca="1" ref="CG25" ca="1">IF($B25="","",IF(ISBLANK(INDIRECT("R9.Web!D"&amp;SUM(18,38*49,6))),"",INDIRECT("R9.Web!D"&amp;SUM(18,38*49,6))))</f>
        <v>N/T</v>
      </c>
      <c r="CH25" s="215" t="str" cm="1">
        <f t="array" aca="1" ref="CH25" ca="1">IF($B25="","",IF(ISBLANK(INDIRECT("R11.Software!D"&amp;SUM(18,38*0,6))),"",INDIRECT("R11.Software!D"&amp;SUM(18,38*0,6))))</f>
        <v>N/T</v>
      </c>
      <c r="CI25" s="215" t="str" cm="1">
        <f t="array" aca="1" ref="CI25" ca="1">IF($B25="","",IF(ISBLANK(INDIRECT("R11.Software!D"&amp;SUM(18,38*1,6))),"",INDIRECT("R11.Software!D"&amp;SUM(18,38*1,6))))</f>
        <v>N/T</v>
      </c>
      <c r="CJ25" s="215" t="str" cm="1">
        <f t="array" aca="1" ref="CJ25" ca="1">IF($B25="","",IF(ISBLANK(INDIRECT("R11.Software!D"&amp;SUM(18,38*2,6))),"",INDIRECT("R11.Software!D"&amp;SUM(18,38*2,6))))</f>
        <v>N/T</v>
      </c>
      <c r="CK25" s="215" t="str" cm="1">
        <f t="array" aca="1" ref="CK25" ca="1">IF($B25="","",IF(ISBLANK(INDIRECT("R11.Software!D"&amp;SUM(18,38*3,6))),"",INDIRECT("R11.Software!D"&amp;SUM(18,38*3,6))))</f>
        <v>N/T</v>
      </c>
      <c r="CL25" s="215" t="str" cm="1">
        <f t="array" aca="1" ref="CL25" ca="1">IF($B25="","",IF(ISBLANK(INDIRECT("R11.Software!D"&amp;SUM(18,38*4,6))),"",INDIRECT("R11.Software!D"&amp;SUM(18,38*4,6))))</f>
        <v>N/T</v>
      </c>
      <c r="CM25" s="215" t="str" cm="1">
        <f t="array" aca="1" ref="CM25" ca="1">IF($B25="","",IF(ISBLANK(INDIRECT("R11.Software!D"&amp;SUM(18,38*5,6))),"",INDIRECT("R11.Software!D"&amp;SUM(18,38*5,6))))</f>
        <v>N/T</v>
      </c>
      <c r="CN25" s="215" t="str" cm="1">
        <f t="array" aca="1" ref="CN25" ca="1">IF($B25="","",IF(ISBLANK(INDIRECT("R12.ServiciosApoyo!D"&amp;SUM(18,38*0,6))),"",INDIRECT("R12.ServiciosApoyo!D"&amp;SUM(18,38*0,6))))</f>
        <v>N/T</v>
      </c>
      <c r="CO25" s="215" t="str" cm="1">
        <f t="array" aca="1" ref="CO25" ca="1">IF($B25="","",IF(ISBLANK(INDIRECT("R12.ServiciosApoyo!D"&amp;SUM(18,38*1,6))),"",INDIRECT("R12.ServiciosApoyo!D"&amp;SUM(18,38*1,6))))</f>
        <v>N/T</v>
      </c>
      <c r="CP25" s="215" t="str" cm="1">
        <f t="array" aca="1" ref="CP25" ca="1">IF($B25="","",IF(ISBLANK(INDIRECT("R12.ServiciosApoyo!D"&amp;SUM(18,38*2,6))),"",INDIRECT("R12.ServiciosApoyo!D"&amp;SUM(18,38*2,6))))</f>
        <v>N/T</v>
      </c>
      <c r="CQ25" s="215" t="str" cm="1">
        <f t="array" aca="1" ref="CQ25" ca="1">IF($B25="","",IF(ISBLANK(INDIRECT("R12.ServiciosApoyo!D"&amp;SUM(18,38*3,6))),"",INDIRECT("R12.ServiciosApoyo!D"&amp;SUM(18,38*3,6))))</f>
        <v>N/T</v>
      </c>
      <c r="CR25" s="215" t="str" cm="1">
        <f t="array" aca="1" ref="CR25" ca="1">IF($B25="","",IF(ISBLANK(INDIRECT("R12.ServiciosApoyo!D"&amp;SUM(18,38*4,6))),"",INDIRECT("R12.ServiciosApoyo!D"&amp;SUM(18,38*4,6))))</f>
        <v>N/T</v>
      </c>
      <c r="CU25" s="100"/>
      <c r="CV25" s="29"/>
      <c r="CW25" s="29"/>
      <c r="CX25" s="29"/>
    </row>
    <row r="26" spans="2:102" ht="20.25">
      <c r="B26" s="181" t="n" cm="1">
        <f t="array" ref="B26">IFERROR(INDEX('03.Muestra'!$B$8:$B$42,SMALL(IF("Página Web"='03.Muestra'!$D$8:$D$42,ROW('03.Muestra'!$B$8:$B$42)-MIN(ROW('03.Muestra'!$D$8:$D$42))+1,""),ROW()-19)),"")</f>
        <v>1.0</v>
      </c>
      <c r="C26" s="97" t="str" cm="1">
        <f t="array" ref="C26">IFERROR(INDEX('03.Muestra'!$C$8:$C$42,SMALL(IF("Página Web"='03.Muestra'!$D$8:$D$42,ROW('03.Muestra'!$C$8:$C$42)-MIN(ROW('03.Muestra'!$D$8:$D$42))+1,""),ROW()-19)),"")</f>
        <v>Home - PortCastelló</v>
      </c>
      <c r="D26" s="98" t="str" cm="1">
        <f t="array" ref="D26">IFERROR(INDEX('03.Muestra'!$F$8:$F$42,SMALL(IF("Página Web"='03.Muestra'!$D$8:$D$42,ROW('03.Muestra'!$F$8:$F$42)-MIN(ROW('03.Muestra'!$D$8:$D$42))+1,""),ROW()-19)),"")</f>
        <v>https://www.portcastello.com/</v>
      </c>
      <c r="E26" s="215" t="str" cm="1">
        <f t="array" aca="1" ref="E26" ca="1">IF($B26="","",IF(ISBLANK(INDIRECT("R5.Genéricos!D"&amp;SUM(18,38*0,7))),"",INDIRECT("R5.Genéricos!D"&amp;SUM(18,38*0,7))))</f>
        <v>N/T</v>
      </c>
      <c r="F26" s="215" t="str" cm="1">
        <f t="array" aca="1" ref="F26" ca="1">IF($B26="","",IF(ISBLANK(INDIRECT("R5.Genéricos!D"&amp;SUM(18,38*1,7))),"",INDIRECT("R5.Genéricos!D"&amp;SUM(18,38*1,7))))</f>
        <v>N/T</v>
      </c>
      <c r="G26" s="215" t="str" cm="1">
        <f t="array" aca="1" ref="G26" ca="1">IF($B26="","",IF(ISBLANK(INDIRECT("R5.Genéricos!D"&amp;SUM(18,38*2,7))),"",INDIRECT("R5.Genéricos!D"&amp;SUM(18,38*2,7))))</f>
        <v>N/T</v>
      </c>
      <c r="H26" s="215" t="str" cm="1">
        <f t="array" aca="1" ref="H26" ca="1">IF($B26="","",IF(ISBLANK(INDIRECT("R6.Voz!D"&amp;SUM(18,38*0,7))),"",INDIRECT("R6.Voz!D"&amp;SUM(18,38*0,7))))</f>
        <v>N/T</v>
      </c>
      <c r="I26" s="215" t="str" cm="1">
        <f t="array" aca="1" ref="I26" ca="1">IF($B26="","",IF(ISBLANK(INDIRECT("R6.Voz!D"&amp;SUM(18,38*1,7))),"",INDIRECT("R6.Voz!D"&amp;SUM(18,38*1,7))))</f>
        <v>N/T</v>
      </c>
      <c r="J26" s="215" t="str" cm="1">
        <f t="array" aca="1" ref="J26" ca="1">IF($B26="","",IF(ISBLANK(INDIRECT("R6.Voz!D"&amp;SUM(18,38*2,7))),"",INDIRECT("R6.Voz!D"&amp;SUM(18,38*2,7))))</f>
        <v>N/T</v>
      </c>
      <c r="K26" s="215" t="str" cm="1">
        <f t="array" aca="1" ref="K26" ca="1">IF($B26="","",IF(ISBLANK(INDIRECT("R6.Voz!D"&amp;SUM(18,38*3,7))),"",INDIRECT("R6.Voz!D"&amp;SUM(18,38*3,7))))</f>
        <v>N/T</v>
      </c>
      <c r="L26" s="215" t="str" cm="1">
        <f t="array" aca="1" ref="L26" ca="1">IF($B26="","",IF(ISBLANK(INDIRECT("R6.Voz!D"&amp;SUM(18,38*4,7))),"",INDIRECT("R6.Voz!D"&amp;SUM(18,38*4,7))))</f>
        <v>N/T</v>
      </c>
      <c r="M26" s="215" t="str" cm="1">
        <f t="array" aca="1" ref="M26" ca="1">IF($B26="","",IF(ISBLANK(INDIRECT("R6.Voz!D"&amp;SUM(18,38*5,7))),"",INDIRECT("R6.Voz!D"&amp;SUM(18,38*5,7))))</f>
        <v>N/T</v>
      </c>
      <c r="N26" s="215" t="str" cm="1">
        <f t="array" aca="1" ref="N26" ca="1">IF($B26="","",IF(ISBLANK(INDIRECT("R6.Voz!D"&amp;SUM(18,38*6,7))),"",INDIRECT("R6.Voz!D"&amp;SUM(18,38*6,7))))</f>
        <v>N/T</v>
      </c>
      <c r="O26" s="215" t="str" cm="1">
        <f t="array" aca="1" ref="O26" ca="1">IF($B26="","",IF(ISBLANK(INDIRECT("R6.Voz!D"&amp;SUM(18,38*7,7))),"",INDIRECT("R6.Voz!D"&amp;SUM(18,38*7,7))))</f>
        <v>N/T</v>
      </c>
      <c r="P26" s="215" t="str" cm="1">
        <f t="array" aca="1" ref="P26" ca="1">IF($B26="","",IF(ISBLANK(INDIRECT("R6.Voz!D"&amp;SUM(18,38*8,7))),"",INDIRECT("R6.Voz!D"&amp;SUM(18,38*8,7))))</f>
        <v>N/T</v>
      </c>
      <c r="Q26" s="215" t="str" cm="1">
        <f t="array" aca="1" ref="Q26" ca="1">IF($B26="","",IF(ISBLANK(INDIRECT("R6.Voz!D"&amp;SUM(18,38*9,7))),"",INDIRECT("R6.Voz!D"&amp;SUM(18,38*9,7))))</f>
        <v>N/T</v>
      </c>
      <c r="R26" s="215" t="str" cm="1">
        <f t="array" aca="1" ref="R26" ca="1">IF($B26="","",IF(ISBLANK(INDIRECT("R6.Voz!D"&amp;SUM(18,38*10,7))),"",INDIRECT("R6.Voz!D"&amp;SUM(18,38*10,7))))</f>
        <v>N/T</v>
      </c>
      <c r="S26" s="215" t="str" cm="1">
        <f t="array" aca="1" ref="S26" ca="1">IF($B26="","",IF(ISBLANK(INDIRECT("R6.Voz!D"&amp;SUM(18,38*11,7))),"",INDIRECT("R6.Voz!D"&amp;SUM(18,38*11,7))))</f>
        <v>N/T</v>
      </c>
      <c r="T26" s="215" t="str" cm="1">
        <f t="array" aca="1" ref="T26" ca="1">IF($B26="","",IF(ISBLANK(INDIRECT("R6.Voz!D"&amp;SUM(18,38*12,7))),"",INDIRECT("R6.Voz!D"&amp;SUM(18,38*12,7))))</f>
        <v>N/T</v>
      </c>
      <c r="U26" s="215" t="str" cm="1">
        <f t="array" aca="1" ref="U26" ca="1">IF($B26="","",IF(ISBLANK(INDIRECT("R6.Voz!D"&amp;SUM(18,38*13,7))),"",INDIRECT("R6.Voz!D"&amp;SUM(18,38*13,7))))</f>
        <v>N/T</v>
      </c>
      <c r="V26" s="215" t="str" cm="1">
        <f t="array" aca="1" ref="V26" ca="1">IF($B26="","",IF(ISBLANK(INDIRECT("R6.Voz!D"&amp;SUM(18,38*14,7))),"",INDIRECT("R6.Voz!D"&amp;SUM(18,38*14,7))))</f>
        <v>N/T</v>
      </c>
      <c r="W26" s="215" t="str" cm="1">
        <f t="array" aca="1" ref="W26" ca="1">IF($B26="","",IF(ISBLANK(INDIRECT("R6.Voz!D"&amp;SUM(18,38*15,7))),"",INDIRECT("R6.Voz!D"&amp;SUM(18,38*15,7))))</f>
        <v>N/T</v>
      </c>
      <c r="X26" s="215" t="str" cm="1">
        <f t="array" aca="1" ref="X26" ca="1">IF($B26="","",IF(ISBLANK(INDIRECT("R6.Voz!D"&amp;SUM(18,38*16,7))),"",INDIRECT("R6.Voz!D"&amp;SUM(18,38*16,7))))</f>
        <v>N/T</v>
      </c>
      <c r="Y26" s="215" t="str" cm="1">
        <f t="array" aca="1" ref="Y26" ca="1">IF($B26="","",IF(ISBLANK(INDIRECT("R6.Voz!D"&amp;SUM(18,38*17,7))),"",INDIRECT("R6.Voz!D"&amp;SUM(18,38*17,7))))</f>
        <v>N/T</v>
      </c>
      <c r="Z26" s="215" t="str" cm="1">
        <f t="array" aca="1" ref="Z26" ca="1">IF($B26="","",IF(ISBLANK(INDIRECT("R6.Voz!D"&amp;SUM(18,38*18,7))),"",INDIRECT("R6.Voz!D"&amp;SUM(18,38*18,7))))</f>
        <v>N/T</v>
      </c>
      <c r="AA26" s="215" t="str" cm="1">
        <f t="array" aca="1" ref="AA26" ca="1">IF($B26="","",IF(ISBLANK(INDIRECT("R7.Video!D"&amp;SUM(18,38*0,7))),"",INDIRECT("R7.Video!D"&amp;SUM(18,38*0,7))))</f>
        <v>N/T</v>
      </c>
      <c r="AB26" s="215" t="str" cm="1">
        <f t="array" aca="1" ref="AB26" ca="1">IF($B26="","",IF(ISBLANK(INDIRECT("R7.Video!D"&amp;SUM(18,38*1,7))),"",INDIRECT("R7.Video!D"&amp;SUM(18,38*1,7))))</f>
        <v>N/T</v>
      </c>
      <c r="AC26" s="215" t="str" cm="1">
        <f t="array" aca="1" ref="AC26" ca="1">IF($B26="","",IF(ISBLANK(INDIRECT("R7.Video!D"&amp;SUM(18,38*2,7))),"",INDIRECT("R7.Video!D"&amp;SUM(18,38*2,7))))</f>
        <v>N/T</v>
      </c>
      <c r="AD26" s="215" t="str" cm="1">
        <f t="array" aca="1" ref="AD26" ca="1">IF($B26="","",IF(ISBLANK(INDIRECT("R7.Video!D"&amp;SUM(18,38*3,7))),"",INDIRECT("R7.Video!D"&amp;SUM(18,38*3,7))))</f>
        <v>N/T</v>
      </c>
      <c r="AE26" s="215" t="str" cm="1">
        <f t="array" aca="1" ref="AE26" ca="1">IF($B26="","",IF(ISBLANK(INDIRECT("R7.Video!D"&amp;SUM(18,38*4,7))),"",INDIRECT("R7.Video!D"&amp;SUM(18,38*4,7))))</f>
        <v>N/T</v>
      </c>
      <c r="AF26" s="215" t="str" cm="1">
        <f t="array" aca="1" ref="AF26" ca="1">IF($B26="","",IF(ISBLANK(INDIRECT("R7.Video!D"&amp;SUM(18,38*5,7))),"",INDIRECT("R7.Video!D"&amp;SUM(18,38*5,7))))</f>
        <v>N/T</v>
      </c>
      <c r="AG26" s="215" t="str" cm="1">
        <f t="array" aca="1" ref="AG26" ca="1">IF($B26="","",IF(ISBLANK(INDIRECT("R7.Video!D"&amp;SUM(18,38*6,7))),"",INDIRECT("R7.Video!D"&amp;SUM(18,38*6,7))))</f>
        <v>N/T</v>
      </c>
      <c r="AH26" s="215" t="str" cm="1">
        <f t="array" aca="1" ref="AH26" ca="1">IF($B26="","",IF(ISBLANK(INDIRECT("R7.Video!D"&amp;SUM(18,38*7,7))),"",INDIRECT("R7.Video!D"&amp;SUM(18,38*7,7))))</f>
        <v>N/T</v>
      </c>
      <c r="AI26" s="215" t="str" cm="1">
        <f t="array" aca="1" ref="AI26" ca="1">IF($B26="","",IF(ISBLANK(INDIRECT("R7.Video!D"&amp;SUM(18,38*8,7))),"",INDIRECT("R7.Video!D"&amp;SUM(18,38*8,7))))</f>
        <v>N/T</v>
      </c>
      <c r="AJ26" s="215" t="str" cm="1">
        <f t="array" aca="1" ref="AJ26" ca="1">IF($B26="","",IF(ISBLANK(INDIRECT("R9.Web!D"&amp;SUM(18,38*0,7))),"",INDIRECT("R9.Web!D"&amp;SUM(18,38*0,7))))</f>
        <v>N/D</v>
      </c>
      <c r="AK26" s="215" t="str" cm="1">
        <f t="array" aca="1" ref="AK26" ca="1">IF($B26="","",IF(ISBLANK(INDIRECT("R9.Web!D"&amp;SUM(18,38*1,7))),"",INDIRECT("R9.Web!D"&amp;SUM(18,38*1,7))))</f>
        <v>N/T</v>
      </c>
      <c r="AL26" s="215" t="str" cm="1">
        <f t="array" aca="1" ref="AL26" ca="1">IF($B26="","",IF(ISBLANK(INDIRECT("R9.Web!D"&amp;SUM(18,38*2,7))),"",INDIRECT("R9.Web!D"&amp;SUM(18,38*2,7))))</f>
        <v>N/T</v>
      </c>
      <c r="AM26" s="215" t="str" cm="1">
        <f t="array" aca="1" ref="AM26" ca="1">IF($B26="","",IF(ISBLANK(INDIRECT("R9.Web!D"&amp;SUM(18,38*3,7))),"",INDIRECT("R9.Web!D"&amp;SUM(18,38*3,7))))</f>
        <v>N/T</v>
      </c>
      <c r="AN26" s="215" t="str" cm="1">
        <f t="array" aca="1" ref="AN26" ca="1">IF($B26="","",IF(ISBLANK(INDIRECT("R9.Web!D"&amp;SUM(18,38*4,7))),"",INDIRECT("R9.Web!D"&amp;SUM(18,38*4,7))))</f>
        <v>N/T</v>
      </c>
      <c r="AO26" s="215" t="str" cm="1">
        <f t="array" aca="1" ref="AO26" ca="1">IF($B26="","",IF(ISBLANK(INDIRECT("R9.Web!D"&amp;SUM(18,38*5,7))),"",INDIRECT("R9.Web!D"&amp;SUM(18,38*5,7))))</f>
        <v>N/D</v>
      </c>
      <c r="AP26" s="215" t="str" cm="1">
        <f t="array" aca="1" ref="AP26" ca="1">IF($B26="","",IF(ISBLANK(INDIRECT("R9.Web!D"&amp;SUM(18,38*6,7))),"",INDIRECT("R9.Web!D"&amp;SUM(18,38*6,7))))</f>
        <v>N/T</v>
      </c>
      <c r="AQ26" s="215" t="str" cm="1">
        <f t="array" aca="1" ref="AQ26" ca="1">IF($B26="","",IF(ISBLANK(INDIRECT("R9.Web!D"&amp;SUM(18,38*7,7))),"",INDIRECT("R9.Web!D"&amp;SUM(18,38*7,7))))</f>
        <v>N/T</v>
      </c>
      <c r="AR26" s="215" t="str" cm="1">
        <f t="array" aca="1" ref="AR26" ca="1">IF($B26="","",IF(ISBLANK(INDIRECT("R9.Web!D"&amp;SUM(18,38*8,7))),"",INDIRECT("R9.Web!D"&amp;SUM(18,38*8,7))))</f>
        <v>N/D</v>
      </c>
      <c r="AS26" s="215" t="str" cm="1">
        <f t="array" aca="1" ref="AS26" ca="1">IF($B26="","",IF(ISBLANK(INDIRECT("R9.Web!D"&amp;SUM(18,38*9,7))),"",INDIRECT("R9.Web!D"&amp;SUM(18,38*9,7))))</f>
        <v>N/D</v>
      </c>
      <c r="AT26" s="215" t="str" cm="1">
        <f t="array" aca="1" ref="AT26" ca="1">IF($B26="","",IF(ISBLANK(INDIRECT("R9.Web!D"&amp;SUM(18,38*10,7))),"",INDIRECT("R9.Web!D"&amp;SUM(18,38*10,7))))</f>
        <v>N/T</v>
      </c>
      <c r="AU26" s="215" t="str" cm="1">
        <f t="array" aca="1" ref="AU26" ca="1">IF($B26="","",IF(ISBLANK(INDIRECT("R9.Web!D"&amp;SUM(18,38*11,7))),"",INDIRECT("R9.Web!D"&amp;SUM(18,38*11,7))))</f>
        <v>N/T</v>
      </c>
      <c r="AV26" s="215" t="str" cm="1">
        <f t="array" aca="1" ref="AV26" ca="1">IF($B26="","",IF(ISBLANK(INDIRECT("R9.Web!D"&amp;SUM(18,38*12,7))),"",INDIRECT("R9.Web!D"&amp;SUM(18,38*12,7))))</f>
        <v>N/D</v>
      </c>
      <c r="AW26" s="215" t="str" cm="1">
        <f t="array" aca="1" ref="AW26" ca="1">IF($B26="","",IF(ISBLANK(INDIRECT("R9.Web!D"&amp;SUM(18,38*13,7))),"",INDIRECT("R9.Web!D"&amp;SUM(18,38*13,7))))</f>
        <v>N/T</v>
      </c>
      <c r="AX26" s="215" t="str" cm="1">
        <f t="array" aca="1" ref="AX26" ca="1">IF($B26="","",IF(ISBLANK(INDIRECT("R9.Web!D"&amp;SUM(18,38*14,7))),"",INDIRECT("R9.Web!D"&amp;SUM(18,38*14,7))))</f>
        <v>N/T</v>
      </c>
      <c r="AY26" s="215" t="str" cm="1">
        <f t="array" aca="1" ref="AY26" ca="1">IF($B26="","",IF(ISBLANK(INDIRECT("R9.Web!D"&amp;SUM(18,38*15,7))),"",INDIRECT("R9.Web!D"&amp;SUM(18,38*15,7))))</f>
        <v>N/D</v>
      </c>
      <c r="AZ26" s="215" t="str" cm="1">
        <f t="array" aca="1" ref="AZ26" ca="1">IF($B26="","",IF(ISBLANK(INDIRECT("R9.Web!D"&amp;SUM(18,38*16,7))),"",INDIRECT("R9.Web!D"&amp;SUM(18,38*16,7))))</f>
        <v>N/T</v>
      </c>
      <c r="BA26" s="215" t="str" cm="1">
        <f t="array" aca="1" ref="BA26" ca="1">IF($B26="","",IF(ISBLANK(INDIRECT("R9.Web!D"&amp;SUM(18,38*17,7))),"",INDIRECT("R9.Web!D"&amp;SUM(18,38*17,7))))</f>
        <v>N/D</v>
      </c>
      <c r="BB26" s="215" t="str" cm="1">
        <f t="array" aca="1" ref="BB26" ca="1">IF($B26="","",IF(ISBLANK(INDIRECT("R9.Web!D"&amp;SUM(18,38*18,7))),"",INDIRECT("R9.Web!D"&amp;SUM(18,38*18,7))))</f>
        <v>N/T</v>
      </c>
      <c r="BC26" s="215" t="str" cm="1">
        <f t="array" aca="1" ref="BC26" ca="1">IF($B26="","",IF(ISBLANK(INDIRECT("R9.Web!D"&amp;SUM(18,38*19,7))),"",INDIRECT("R9.Web!D"&amp;SUM(18,38*19,7))))</f>
        <v>N/D</v>
      </c>
      <c r="BD26" s="215" t="str" cm="1">
        <f t="array" aca="1" ref="BD26" ca="1">IF($B26="","",IF(ISBLANK(INDIRECT("R9.Web!D"&amp;SUM(18,38*20,7))),"",INDIRECT("R9.Web!D"&amp;SUM(18,38*20,7))))</f>
        <v>N/T</v>
      </c>
      <c r="BE26" s="215" t="str" cm="1">
        <f t="array" aca="1" ref="BE26" ca="1">IF($B26="","",IF(ISBLANK(INDIRECT("R9.Web!D"&amp;SUM(18,38*21,7))),"",INDIRECT("R9.Web!D"&amp;SUM(18,38*21,7))))</f>
        <v>N/T</v>
      </c>
      <c r="BF26" s="215" t="str" cm="1">
        <f t="array" aca="1" ref="BF26" ca="1">IF($B26="","",IF(ISBLANK(INDIRECT("R9.Web!D"&amp;SUM(18,38*22,7))),"",INDIRECT("R9.Web!D"&amp;SUM(18,38*22,7))))</f>
        <v>N/D</v>
      </c>
      <c r="BG26" s="215" t="str" cm="1">
        <f t="array" aca="1" ref="BG26" ca="1">IF($B26="","",IF(ISBLANK(INDIRECT("R9.Web!D"&amp;SUM(18,38*23,7))),"",INDIRECT("R9.Web!D"&amp;SUM(18,38*23,7))))</f>
        <v>N/D</v>
      </c>
      <c r="BH26" s="215" t="str" cm="1">
        <f t="array" aca="1" ref="BH26" ca="1">IF($B26="","",IF(ISBLANK(INDIRECT("R9.Web!D"&amp;SUM(18,38*24,7))),"",INDIRECT("R9.Web!D"&amp;SUM(18,38*24,7))))</f>
        <v>N/T</v>
      </c>
      <c r="BI26" s="215" t="str" cm="1">
        <f t="array" aca="1" ref="BI26" ca="1">IF($B26="","",IF(ISBLANK(INDIRECT("R9.Web!D"&amp;SUM(18,38*25,7))),"",INDIRECT("R9.Web!D"&amp;SUM(18,38*25,7))))</f>
        <v>N/D</v>
      </c>
      <c r="BJ26" s="215" t="str" cm="1">
        <f t="array" aca="1" ref="BJ26" ca="1">IF($B26="","",IF(ISBLANK(INDIRECT("R9.Web!D"&amp;SUM(18,38*26,7))),"",INDIRECT("R9.Web!D"&amp;SUM(18,38*26,7))))</f>
        <v>N/D</v>
      </c>
      <c r="BK26" s="215" t="str" cm="1">
        <f t="array" aca="1" ref="BK26" ca="1">IF($B26="","",IF(ISBLANK(INDIRECT("R9.Web!D"&amp;SUM(18,38*27,7))),"",INDIRECT("R9.Web!D"&amp;SUM(18,38*27,7))))</f>
        <v>N/D</v>
      </c>
      <c r="BL26" s="215" t="str" cm="1">
        <f t="array" aca="1" ref="BL26" ca="1">IF($B26="","",IF(ISBLANK(INDIRECT("R9.Web!D"&amp;SUM(18,38*28,7))),"",INDIRECT("R9.Web!D"&amp;SUM(18,38*28,7))))</f>
        <v>N/D</v>
      </c>
      <c r="BM26" s="215" t="str" cm="1">
        <f t="array" aca="1" ref="BM26" ca="1">IF($B26="","",IF(ISBLANK(INDIRECT("R9.Web!D"&amp;SUM(18,38*29,7))),"",INDIRECT("R9.Web!D"&amp;SUM(18,38*29,7))))</f>
        <v>N/D</v>
      </c>
      <c r="BN26" s="215" t="str" cm="1">
        <f t="array" aca="1" ref="BN26" ca="1">IF($B26="","",IF(ISBLANK(INDIRECT("R9.Web!D"&amp;SUM(18,38*30,7))),"",INDIRECT("R9.Web!D"&amp;SUM(18,38*30,7))))</f>
        <v>N/T</v>
      </c>
      <c r="BO26" s="215" t="str" cm="1">
        <f t="array" aca="1" ref="BO26" ca="1">IF($B26="","",IF(ISBLANK(INDIRECT("R9.Web!D"&amp;SUM(18,38*31,7))),"",INDIRECT("R9.Web!D"&amp;SUM(18,38*31,7))))</f>
        <v>N/D</v>
      </c>
      <c r="BP26" s="215" t="str" cm="1">
        <f t="array" aca="1" ref="BP26" ca="1">IF($B26="","",IF(ISBLANK(INDIRECT("R9.Web!D"&amp;SUM(18,38*32,7))),"",INDIRECT("R9.Web!D"&amp;SUM(18,38*32,7))))</f>
        <v>N/T</v>
      </c>
      <c r="BQ26" s="215" t="str" cm="1">
        <f t="array" aca="1" ref="BQ26" ca="1">IF($B26="","",IF(ISBLANK(INDIRECT("R9.Web!D"&amp;SUM(18,38*33,7))),"",INDIRECT("R9.Web!D"&amp;SUM(18,38*33,7))))</f>
        <v>N/T</v>
      </c>
      <c r="BR26" s="215" t="str" cm="1">
        <f t="array" aca="1" ref="BR26" ca="1">IF($B26="","",IF(ISBLANK(INDIRECT("R9.Web!D"&amp;SUM(18,38*34,7))),"",INDIRECT("R9.Web!D"&amp;SUM(18,38*34,7))))</f>
        <v>N/D</v>
      </c>
      <c r="BS26" s="215" t="str" cm="1">
        <f t="array" aca="1" ref="BS26" ca="1">IF($B26="","",IF(ISBLANK(INDIRECT("R9.Web!D"&amp;SUM(18,38*35,7))),"",INDIRECT("R9.Web!D"&amp;SUM(18,38*35,7))))</f>
        <v>N/T</v>
      </c>
      <c r="BT26" s="215" t="str" cm="1">
        <f t="array" aca="1" ref="BT26" ca="1">IF($B26="","",IF(ISBLANK(INDIRECT("R9.Web!D"&amp;SUM(18,38*36,7))),"",INDIRECT("R9.Web!D"&amp;SUM(18,38*36,7))))</f>
        <v>N/D</v>
      </c>
      <c r="BU26" s="215" t="str" cm="1">
        <f t="array" aca="1" ref="BU26" ca="1">IF($B26="","",IF(ISBLANK(INDIRECT("R9.Web!D"&amp;SUM(18,38*37,7))),"",INDIRECT("R9.Web!D"&amp;SUM(18,38*37,7))))</f>
        <v>N/D</v>
      </c>
      <c r="BV26" s="215" t="str" cm="1">
        <f t="array" aca="1" ref="BV26" ca="1">IF($B26="","",IF(ISBLANK(INDIRECT("R9.Web!D"&amp;SUM(18,38*38,7))),"",INDIRECT("R9.Web!D"&amp;SUM(18,38*38,7))))</f>
        <v>N/D</v>
      </c>
      <c r="BW26" s="215" t="str" cm="1">
        <f t="array" aca="1" ref="BW26" ca="1">IF($B26="","",IF(ISBLANK(INDIRECT("R9.Web!D"&amp;SUM(18,38*39,7))),"",INDIRECT("R9.Web!D"&amp;SUM(18,38*39,7))))</f>
        <v>N/D</v>
      </c>
      <c r="BX26" s="215" t="str" cm="1">
        <f t="array" aca="1" ref="BX26" ca="1">IF($B26="","",IF(ISBLANK(INDIRECT("R9.Web!D"&amp;SUM(18,38*40,7))),"",INDIRECT("R9.Web!D"&amp;SUM(18,38*40,7))))</f>
        <v>N/D</v>
      </c>
      <c r="BY26" s="215" t="str" cm="1">
        <f t="array" aca="1" ref="BY26" ca="1">IF($B26="","",IF(ISBLANK(INDIRECT("R9.Web!D"&amp;SUM(18,38*41,7))),"",INDIRECT("R9.Web!D"&amp;SUM(18,38*41,7))))</f>
        <v>N/T</v>
      </c>
      <c r="BZ26" s="215" t="str" cm="1">
        <f t="array" aca="1" ref="BZ26" ca="1">IF($B26="","",IF(ISBLANK(INDIRECT("R9.Web!D"&amp;SUM(18,38*42,7))),"",INDIRECT("R9.Web!D"&amp;SUM(18,38*42,7))))</f>
        <v>N/T</v>
      </c>
      <c r="CA26" s="215" t="str" cm="1">
        <f t="array" aca="1" ref="CA26" ca="1">IF($B26="","",IF(ISBLANK(INDIRECT("R9.Web!D"&amp;SUM(18,38*43,7))),"",INDIRECT("R9.Web!D"&amp;SUM(18,38*43,7))))</f>
        <v>N/D</v>
      </c>
      <c r="CB26" s="215" t="str" cm="1">
        <f t="array" aca="1" ref="CB26" ca="1">IF($B26="","",IF(ISBLANK(INDIRECT("R9.Web!D"&amp;SUM(18,38*44,7))),"",INDIRECT("R9.Web!D"&amp;SUM(18,38*44,7))))</f>
        <v>N/T</v>
      </c>
      <c r="CC26" s="215" t="str" cm="1">
        <f t="array" aca="1" ref="CC26" ca="1">IF($B26="","",IF(ISBLANK(INDIRECT("R9.Web!D"&amp;SUM(18,38*45,7))),"",INDIRECT("R9.Web!D"&amp;SUM(18,38*45,7))))</f>
        <v>N/T</v>
      </c>
      <c r="CD26" s="215" t="str" cm="1">
        <f t="array" aca="1" ref="CD26" ca="1">IF($B26="","",IF(ISBLANK(INDIRECT("R9.Web!D"&amp;SUM(18,38*46,7))),"",INDIRECT("R9.Web!D"&amp;SUM(18,38*46,7))))</f>
        <v>N/T</v>
      </c>
      <c r="CE26" s="215" t="str" cm="1">
        <f t="array" aca="1" ref="CE26" ca="1">IF($B26="","",IF(ISBLANK(INDIRECT("R9.Web!D"&amp;SUM(18,38*47,7))),"",INDIRECT("R9.Web!D"&amp;SUM(18,38*47,7))))</f>
        <v>N/D</v>
      </c>
      <c r="CF26" s="215" t="str" cm="1">
        <f t="array" aca="1" ref="CF26" ca="1">IF($B26="","",IF(ISBLANK(INDIRECT("R9.Web!D"&amp;SUM(18,38*48,7))),"",INDIRECT("R9.Web!D"&amp;SUM(18,38*48,7))))</f>
        <v>N/T</v>
      </c>
      <c r="CG26" s="215" t="str" cm="1">
        <f t="array" aca="1" ref="CG26" ca="1">IF($B26="","",IF(ISBLANK(INDIRECT("R9.Web!D"&amp;SUM(18,38*49,7))),"",INDIRECT("R9.Web!D"&amp;SUM(18,38*49,7))))</f>
        <v>N/T</v>
      </c>
      <c r="CH26" s="215" t="str" cm="1">
        <f t="array" aca="1" ref="CH26" ca="1">IF($B26="","",IF(ISBLANK(INDIRECT("R11.Software!D"&amp;SUM(18,38*0,7))),"",INDIRECT("R11.Software!D"&amp;SUM(18,38*0,7))))</f>
        <v>N/T</v>
      </c>
      <c r="CI26" s="215" t="str" cm="1">
        <f t="array" aca="1" ref="CI26" ca="1">IF($B26="","",IF(ISBLANK(INDIRECT("R11.Software!D"&amp;SUM(18,38*1,7))),"",INDIRECT("R11.Software!D"&amp;SUM(18,38*1,7))))</f>
        <v>N/T</v>
      </c>
      <c r="CJ26" s="215" t="str" cm="1">
        <f t="array" aca="1" ref="CJ26" ca="1">IF($B26="","",IF(ISBLANK(INDIRECT("R11.Software!D"&amp;SUM(18,38*2,7))),"",INDIRECT("R11.Software!D"&amp;SUM(18,38*2,7))))</f>
        <v>N/T</v>
      </c>
      <c r="CK26" s="215" t="str" cm="1">
        <f t="array" aca="1" ref="CK26" ca="1">IF($B26="","",IF(ISBLANK(INDIRECT("R11.Software!D"&amp;SUM(18,38*3,7))),"",INDIRECT("R11.Software!D"&amp;SUM(18,38*3,7))))</f>
        <v>N/T</v>
      </c>
      <c r="CL26" s="215" t="str" cm="1">
        <f t="array" aca="1" ref="CL26" ca="1">IF($B26="","",IF(ISBLANK(INDIRECT("R11.Software!D"&amp;SUM(18,38*4,7))),"",INDIRECT("R11.Software!D"&amp;SUM(18,38*4,7))))</f>
        <v>N/T</v>
      </c>
      <c r="CM26" s="215" t="str" cm="1">
        <f t="array" aca="1" ref="CM26" ca="1">IF($B26="","",IF(ISBLANK(INDIRECT("R11.Software!D"&amp;SUM(18,38*5,7))),"",INDIRECT("R11.Software!D"&amp;SUM(18,38*5,7))))</f>
        <v>N/T</v>
      </c>
      <c r="CN26" s="215" t="str" cm="1">
        <f t="array" aca="1" ref="CN26" ca="1">IF($B26="","",IF(ISBLANK(INDIRECT("R12.ServiciosApoyo!D"&amp;SUM(18,38*0,7))),"",INDIRECT("R12.ServiciosApoyo!D"&amp;SUM(18,38*0,7))))</f>
        <v>N/T</v>
      </c>
      <c r="CO26" s="215" t="str" cm="1">
        <f t="array" aca="1" ref="CO26" ca="1">IF($B26="","",IF(ISBLANK(INDIRECT("R12.ServiciosApoyo!D"&amp;SUM(18,38*1,7))),"",INDIRECT("R12.ServiciosApoyo!D"&amp;SUM(18,38*1,7))))</f>
        <v>N/T</v>
      </c>
      <c r="CP26" s="215" t="str" cm="1">
        <f t="array" aca="1" ref="CP26" ca="1">IF($B26="","",IF(ISBLANK(INDIRECT("R12.ServiciosApoyo!D"&amp;SUM(18,38*2,7))),"",INDIRECT("R12.ServiciosApoyo!D"&amp;SUM(18,38*2,7))))</f>
        <v>N/T</v>
      </c>
      <c r="CQ26" s="215" t="str" cm="1">
        <f t="array" aca="1" ref="CQ26" ca="1">IF($B26="","",IF(ISBLANK(INDIRECT("R12.ServiciosApoyo!D"&amp;SUM(18,38*3,7))),"",INDIRECT("R12.ServiciosApoyo!D"&amp;SUM(18,38*3,7))))</f>
        <v>N/T</v>
      </c>
      <c r="CR26" s="215" t="str" cm="1">
        <f t="array" aca="1" ref="CR26" ca="1">IF($B26="","",IF(ISBLANK(INDIRECT("R12.ServiciosApoyo!D"&amp;SUM(18,38*4,7))),"",INDIRECT("R12.ServiciosApoyo!D"&amp;SUM(18,38*4,7))))</f>
        <v>N/T</v>
      </c>
      <c r="CU26" s="100"/>
      <c r="CV26" s="29"/>
      <c r="CW26" s="29"/>
      <c r="CX26" s="29"/>
    </row>
    <row r="27" spans="2:102" ht="20.25">
      <c r="B27" s="181" t="n" cm="1">
        <f t="array" ref="B27">IFERROR(INDEX('03.Muestra'!$B$8:$B$42,SMALL(IF("Página Web"='03.Muestra'!$D$8:$D$42,ROW('03.Muestra'!$B$8:$B$42)-MIN(ROW('03.Muestra'!$D$8:$D$42))+1,""),ROW()-19)),"")</f>
        <v>1.0</v>
      </c>
      <c r="C27" s="97" t="str" cm="1">
        <f t="array" ref="C27">IFERROR(INDEX('03.Muestra'!$C$8:$C$42,SMALL(IF("Página Web"='03.Muestra'!$D$8:$D$42,ROW('03.Muestra'!$C$8:$C$42)-MIN(ROW('03.Muestra'!$D$8:$D$42))+1,""),ROW()-19)),"")</f>
        <v>Home - PortCastelló</v>
      </c>
      <c r="D27" s="98" t="str" cm="1">
        <f t="array" ref="D27">IFERROR(INDEX('03.Muestra'!$F$8:$F$42,SMALL(IF("Página Web"='03.Muestra'!$D$8:$D$42,ROW('03.Muestra'!$F$8:$F$42)-MIN(ROW('03.Muestra'!$D$8:$D$42))+1,""),ROW()-19)),"")</f>
        <v>https://www.portcastello.com/</v>
      </c>
      <c r="E27" s="215" t="str" cm="1">
        <f t="array" aca="1" ref="E27" ca="1">IF($B27="","",IF(ISBLANK(INDIRECT("R5.Genéricos!D"&amp;SUM(18,38*0,8))),"",INDIRECT("R5.Genéricos!D"&amp;SUM(18,38*0,8))))</f>
        <v>N/T</v>
      </c>
      <c r="F27" s="215" t="str" cm="1">
        <f t="array" aca="1" ref="F27" ca="1">IF($B27="","",IF(ISBLANK(INDIRECT("R5.Genéricos!D"&amp;SUM(18,38*1,8))),"",INDIRECT("R5.Genéricos!D"&amp;SUM(18,38*1,8))))</f>
        <v>N/T</v>
      </c>
      <c r="G27" s="215" t="str" cm="1">
        <f t="array" aca="1" ref="G27" ca="1">IF($B27="","",IF(ISBLANK(INDIRECT("R5.Genéricos!D"&amp;SUM(18,38*2,8))),"",INDIRECT("R5.Genéricos!D"&amp;SUM(18,38*2,8))))</f>
        <v>N/T</v>
      </c>
      <c r="H27" s="215" t="str" cm="1">
        <f t="array" aca="1" ref="H27" ca="1">IF($B27="","",IF(ISBLANK(INDIRECT("R6.Voz!D"&amp;SUM(18,38*0,8))),"",INDIRECT("R6.Voz!D"&amp;SUM(18,38*0,8))))</f>
        <v>N/T</v>
      </c>
      <c r="I27" s="215" t="str" cm="1">
        <f t="array" aca="1" ref="I27" ca="1">IF($B27="","",IF(ISBLANK(INDIRECT("R6.Voz!D"&amp;SUM(18,38*1,8))),"",INDIRECT("R6.Voz!D"&amp;SUM(18,38*1,8))))</f>
        <v>N/T</v>
      </c>
      <c r="J27" s="215" t="str" cm="1">
        <f t="array" aca="1" ref="J27" ca="1">IF($B27="","",IF(ISBLANK(INDIRECT("R6.Voz!D"&amp;SUM(18,38*2,8))),"",INDIRECT("R6.Voz!D"&amp;SUM(18,38*2,8))))</f>
        <v>N/T</v>
      </c>
      <c r="K27" s="215" t="str" cm="1">
        <f t="array" aca="1" ref="K27" ca="1">IF($B27="","",IF(ISBLANK(INDIRECT("R6.Voz!D"&amp;SUM(18,38*3,8))),"",INDIRECT("R6.Voz!D"&amp;SUM(18,38*3,8))))</f>
        <v>N/T</v>
      </c>
      <c r="L27" s="215" t="str" cm="1">
        <f t="array" aca="1" ref="L27" ca="1">IF($B27="","",IF(ISBLANK(INDIRECT("R6.Voz!D"&amp;SUM(18,38*4,8))),"",INDIRECT("R6.Voz!D"&amp;SUM(18,38*4,8))))</f>
        <v>N/T</v>
      </c>
      <c r="M27" s="215" t="str" cm="1">
        <f t="array" aca="1" ref="M27" ca="1">IF($B27="","",IF(ISBLANK(INDIRECT("R6.Voz!D"&amp;SUM(18,38*5,8))),"",INDIRECT("R6.Voz!D"&amp;SUM(18,38*5,8))))</f>
        <v>N/T</v>
      </c>
      <c r="N27" s="215" t="str" cm="1">
        <f t="array" aca="1" ref="N27" ca="1">IF($B27="","",IF(ISBLANK(INDIRECT("R6.Voz!D"&amp;SUM(18,38*6,8))),"",INDIRECT("R6.Voz!D"&amp;SUM(18,38*6,8))))</f>
        <v>N/T</v>
      </c>
      <c r="O27" s="215" t="str" cm="1">
        <f t="array" aca="1" ref="O27" ca="1">IF($B27="","",IF(ISBLANK(INDIRECT("R6.Voz!D"&amp;SUM(18,38*7,8))),"",INDIRECT("R6.Voz!D"&amp;SUM(18,38*7,8))))</f>
        <v>N/T</v>
      </c>
      <c r="P27" s="215" t="str" cm="1">
        <f t="array" aca="1" ref="P27" ca="1">IF($B27="","",IF(ISBLANK(INDIRECT("R6.Voz!D"&amp;SUM(18,38*8,8))),"",INDIRECT("R6.Voz!D"&amp;SUM(18,38*8,8))))</f>
        <v>N/T</v>
      </c>
      <c r="Q27" s="215" t="str" cm="1">
        <f t="array" aca="1" ref="Q27" ca="1">IF($B27="","",IF(ISBLANK(INDIRECT("R6.Voz!D"&amp;SUM(18,38*9,8))),"",INDIRECT("R6.Voz!D"&amp;SUM(18,38*9,8))))</f>
        <v>N/T</v>
      </c>
      <c r="R27" s="215" t="str" cm="1">
        <f t="array" aca="1" ref="R27" ca="1">IF($B27="","",IF(ISBLANK(INDIRECT("R6.Voz!D"&amp;SUM(18,38*10,8))),"",INDIRECT("R6.Voz!D"&amp;SUM(18,38*10,8))))</f>
        <v>N/T</v>
      </c>
      <c r="S27" s="215" t="str" cm="1">
        <f t="array" aca="1" ref="S27" ca="1">IF($B27="","",IF(ISBLANK(INDIRECT("R6.Voz!D"&amp;SUM(18,38*11,8))),"",INDIRECT("R6.Voz!D"&amp;SUM(18,38*11,8))))</f>
        <v>N/T</v>
      </c>
      <c r="T27" s="215" t="str" cm="1">
        <f t="array" aca="1" ref="T27" ca="1">IF($B27="","",IF(ISBLANK(INDIRECT("R6.Voz!D"&amp;SUM(18,38*12,8))),"",INDIRECT("R6.Voz!D"&amp;SUM(18,38*12,8))))</f>
        <v>N/T</v>
      </c>
      <c r="U27" s="215" t="str" cm="1">
        <f t="array" aca="1" ref="U27" ca="1">IF($B27="","",IF(ISBLANK(INDIRECT("R6.Voz!D"&amp;SUM(18,38*13,8))),"",INDIRECT("R6.Voz!D"&amp;SUM(18,38*13,8))))</f>
        <v>N/T</v>
      </c>
      <c r="V27" s="215" t="str" cm="1">
        <f t="array" aca="1" ref="V27" ca="1">IF($B27="","",IF(ISBLANK(INDIRECT("R6.Voz!D"&amp;SUM(18,38*14,8))),"",INDIRECT("R6.Voz!D"&amp;SUM(18,38*14,8))))</f>
        <v>N/T</v>
      </c>
      <c r="W27" s="215" t="str" cm="1">
        <f t="array" aca="1" ref="W27" ca="1">IF($B27="","",IF(ISBLANK(INDIRECT("R6.Voz!D"&amp;SUM(18,38*15,8))),"",INDIRECT("R6.Voz!D"&amp;SUM(18,38*15,8))))</f>
        <v>N/T</v>
      </c>
      <c r="X27" s="215" t="str" cm="1">
        <f t="array" aca="1" ref="X27" ca="1">IF($B27="","",IF(ISBLANK(INDIRECT("R6.Voz!D"&amp;SUM(18,38*16,8))),"",INDIRECT("R6.Voz!D"&amp;SUM(18,38*16,8))))</f>
        <v>N/T</v>
      </c>
      <c r="Y27" s="215" t="str" cm="1">
        <f t="array" aca="1" ref="Y27" ca="1">IF($B27="","",IF(ISBLANK(INDIRECT("R6.Voz!D"&amp;SUM(18,38*17,8))),"",INDIRECT("R6.Voz!D"&amp;SUM(18,38*17,8))))</f>
        <v>N/T</v>
      </c>
      <c r="Z27" s="215" t="str" cm="1">
        <f t="array" aca="1" ref="Z27" ca="1">IF($B27="","",IF(ISBLANK(INDIRECT("R6.Voz!D"&amp;SUM(18,38*18,8))),"",INDIRECT("R6.Voz!D"&amp;SUM(18,38*18,8))))</f>
        <v>N/T</v>
      </c>
      <c r="AA27" s="215" t="str" cm="1">
        <f t="array" aca="1" ref="AA27" ca="1">IF($B27="","",IF(ISBLANK(INDIRECT("R7.Video!D"&amp;SUM(18,38*0,8))),"",INDIRECT("R7.Video!D"&amp;SUM(18,38*0,8))))</f>
        <v>N/T</v>
      </c>
      <c r="AB27" s="215" t="str" cm="1">
        <f t="array" aca="1" ref="AB27" ca="1">IF($B27="","",IF(ISBLANK(INDIRECT("R7.Video!D"&amp;SUM(18,38*1,8))),"",INDIRECT("R7.Video!D"&amp;SUM(18,38*1,8))))</f>
        <v>N/T</v>
      </c>
      <c r="AC27" s="215" t="str" cm="1">
        <f t="array" aca="1" ref="AC27" ca="1">IF($B27="","",IF(ISBLANK(INDIRECT("R7.Video!D"&amp;SUM(18,38*2,8))),"",INDIRECT("R7.Video!D"&amp;SUM(18,38*2,8))))</f>
        <v>N/T</v>
      </c>
      <c r="AD27" s="215" t="str" cm="1">
        <f t="array" aca="1" ref="AD27" ca="1">IF($B27="","",IF(ISBLANK(INDIRECT("R7.Video!D"&amp;SUM(18,38*3,8))),"",INDIRECT("R7.Video!D"&amp;SUM(18,38*3,8))))</f>
        <v>N/T</v>
      </c>
      <c r="AE27" s="215" t="str" cm="1">
        <f t="array" aca="1" ref="AE27" ca="1">IF($B27="","",IF(ISBLANK(INDIRECT("R7.Video!D"&amp;SUM(18,38*4,8))),"",INDIRECT("R7.Video!D"&amp;SUM(18,38*4,8))))</f>
        <v>N/T</v>
      </c>
      <c r="AF27" s="215" t="str" cm="1">
        <f t="array" aca="1" ref="AF27" ca="1">IF($B27="","",IF(ISBLANK(INDIRECT("R7.Video!D"&amp;SUM(18,38*5,8))),"",INDIRECT("R7.Video!D"&amp;SUM(18,38*5,8))))</f>
        <v>N/T</v>
      </c>
      <c r="AG27" s="215" t="str" cm="1">
        <f t="array" aca="1" ref="AG27" ca="1">IF($B27="","",IF(ISBLANK(INDIRECT("R7.Video!D"&amp;SUM(18,38*6,8))),"",INDIRECT("R7.Video!D"&amp;SUM(18,38*6,8))))</f>
        <v>N/T</v>
      </c>
      <c r="AH27" s="215" t="str" cm="1">
        <f t="array" aca="1" ref="AH27" ca="1">IF($B27="","",IF(ISBLANK(INDIRECT("R7.Video!D"&amp;SUM(18,38*7,8))),"",INDIRECT("R7.Video!D"&amp;SUM(18,38*7,8))))</f>
        <v>N/T</v>
      </c>
      <c r="AI27" s="215" t="str" cm="1">
        <f t="array" aca="1" ref="AI27" ca="1">IF($B27="","",IF(ISBLANK(INDIRECT("R7.Video!D"&amp;SUM(18,38*8,8))),"",INDIRECT("R7.Video!D"&amp;SUM(18,38*8,8))))</f>
        <v>N/T</v>
      </c>
      <c r="AJ27" s="215" t="str" cm="1">
        <f t="array" aca="1" ref="AJ27" ca="1">IF($B27="","",IF(ISBLANK(INDIRECT("R9.Web!D"&amp;SUM(18,38*0,8))),"",INDIRECT("R9.Web!D"&amp;SUM(18,38*0,8))))</f>
        <v>N/D</v>
      </c>
      <c r="AK27" s="215" t="str" cm="1">
        <f t="array" aca="1" ref="AK27" ca="1">IF($B27="","",IF(ISBLANK(INDIRECT("R9.Web!D"&amp;SUM(18,38*1,8))),"",INDIRECT("R9.Web!D"&amp;SUM(18,38*1,8))))</f>
        <v>N/T</v>
      </c>
      <c r="AL27" s="215" t="str" cm="1">
        <f t="array" aca="1" ref="AL27" ca="1">IF($B27="","",IF(ISBLANK(INDIRECT("R9.Web!D"&amp;SUM(18,38*2,8))),"",INDIRECT("R9.Web!D"&amp;SUM(18,38*2,8))))</f>
        <v>N/T</v>
      </c>
      <c r="AM27" s="215" t="str" cm="1">
        <f t="array" aca="1" ref="AM27" ca="1">IF($B27="","",IF(ISBLANK(INDIRECT("R9.Web!D"&amp;SUM(18,38*3,8))),"",INDIRECT("R9.Web!D"&amp;SUM(18,38*3,8))))</f>
        <v>N/T</v>
      </c>
      <c r="AN27" s="215" t="str" cm="1">
        <f t="array" aca="1" ref="AN27" ca="1">IF($B27="","",IF(ISBLANK(INDIRECT("R9.Web!D"&amp;SUM(18,38*4,8))),"",INDIRECT("R9.Web!D"&amp;SUM(18,38*4,8))))</f>
        <v>N/T</v>
      </c>
      <c r="AO27" s="215" t="str" cm="1">
        <f t="array" aca="1" ref="AO27" ca="1">IF($B27="","",IF(ISBLANK(INDIRECT("R9.Web!D"&amp;SUM(18,38*5,8))),"",INDIRECT("R9.Web!D"&amp;SUM(18,38*5,8))))</f>
        <v>N/D</v>
      </c>
      <c r="AP27" s="215" t="str" cm="1">
        <f t="array" aca="1" ref="AP27" ca="1">IF($B27="","",IF(ISBLANK(INDIRECT("R9.Web!D"&amp;SUM(18,38*6,8))),"",INDIRECT("R9.Web!D"&amp;SUM(18,38*6,8))))</f>
        <v>N/T</v>
      </c>
      <c r="AQ27" s="215" t="str" cm="1">
        <f t="array" aca="1" ref="AQ27" ca="1">IF($B27="","",IF(ISBLANK(INDIRECT("R9.Web!D"&amp;SUM(18,38*7,8))),"",INDIRECT("R9.Web!D"&amp;SUM(18,38*7,8))))</f>
        <v>N/T</v>
      </c>
      <c r="AR27" s="215" t="str" cm="1">
        <f t="array" aca="1" ref="AR27" ca="1">IF($B27="","",IF(ISBLANK(INDIRECT("R9.Web!D"&amp;SUM(18,38*8,8))),"",INDIRECT("R9.Web!D"&amp;SUM(18,38*8,8))))</f>
        <v>N/D</v>
      </c>
      <c r="AS27" s="215" t="str" cm="1">
        <f t="array" aca="1" ref="AS27" ca="1">IF($B27="","",IF(ISBLANK(INDIRECT("R9.Web!D"&amp;SUM(18,38*9,8))),"",INDIRECT("R9.Web!D"&amp;SUM(18,38*9,8))))</f>
        <v>N/D</v>
      </c>
      <c r="AT27" s="215" t="str" cm="1">
        <f t="array" aca="1" ref="AT27" ca="1">IF($B27="","",IF(ISBLANK(INDIRECT("R9.Web!D"&amp;SUM(18,38*10,8))),"",INDIRECT("R9.Web!D"&amp;SUM(18,38*10,8))))</f>
        <v>N/T</v>
      </c>
      <c r="AU27" s="215" t="str" cm="1">
        <f t="array" aca="1" ref="AU27" ca="1">IF($B27="","",IF(ISBLANK(INDIRECT("R9.Web!D"&amp;SUM(18,38*11,8))),"",INDIRECT("R9.Web!D"&amp;SUM(18,38*11,8))))</f>
        <v>N/T</v>
      </c>
      <c r="AV27" s="215" t="str" cm="1">
        <f t="array" aca="1" ref="AV27" ca="1">IF($B27="","",IF(ISBLANK(INDIRECT("R9.Web!D"&amp;SUM(18,38*12,8))),"",INDIRECT("R9.Web!D"&amp;SUM(18,38*12,8))))</f>
        <v>N/D</v>
      </c>
      <c r="AW27" s="215" t="str" cm="1">
        <f t="array" aca="1" ref="AW27" ca="1">IF($B27="","",IF(ISBLANK(INDIRECT("R9.Web!D"&amp;SUM(18,38*13,8))),"",INDIRECT("R9.Web!D"&amp;SUM(18,38*13,8))))</f>
        <v>N/T</v>
      </c>
      <c r="AX27" s="215" t="str" cm="1">
        <f t="array" aca="1" ref="AX27" ca="1">IF($B27="","",IF(ISBLANK(INDIRECT("R9.Web!D"&amp;SUM(18,38*14,8))),"",INDIRECT("R9.Web!D"&amp;SUM(18,38*14,8))))</f>
        <v>N/T</v>
      </c>
      <c r="AY27" s="215" t="str" cm="1">
        <f t="array" aca="1" ref="AY27" ca="1">IF($B27="","",IF(ISBLANK(INDIRECT("R9.Web!D"&amp;SUM(18,38*15,8))),"",INDIRECT("R9.Web!D"&amp;SUM(18,38*15,8))))</f>
        <v>N/D</v>
      </c>
      <c r="AZ27" s="215" t="str" cm="1">
        <f t="array" aca="1" ref="AZ27" ca="1">IF($B27="","",IF(ISBLANK(INDIRECT("R9.Web!D"&amp;SUM(18,38*16,8))),"",INDIRECT("R9.Web!D"&amp;SUM(18,38*16,8))))</f>
        <v>N/T</v>
      </c>
      <c r="BA27" s="215" t="str" cm="1">
        <f t="array" aca="1" ref="BA27" ca="1">IF($B27="","",IF(ISBLANK(INDIRECT("R9.Web!D"&amp;SUM(18,38*17,8))),"",INDIRECT("R9.Web!D"&amp;SUM(18,38*17,8))))</f>
        <v>N/D</v>
      </c>
      <c r="BB27" s="215" t="str" cm="1">
        <f t="array" aca="1" ref="BB27" ca="1">IF($B27="","",IF(ISBLANK(INDIRECT("R9.Web!D"&amp;SUM(18,38*18,8))),"",INDIRECT("R9.Web!D"&amp;SUM(18,38*18,8))))</f>
        <v>N/T</v>
      </c>
      <c r="BC27" s="215" t="str" cm="1">
        <f t="array" aca="1" ref="BC27" ca="1">IF($B27="","",IF(ISBLANK(INDIRECT("R9.Web!D"&amp;SUM(18,38*19,8))),"",INDIRECT("R9.Web!D"&amp;SUM(18,38*19,8))))</f>
        <v>N/D</v>
      </c>
      <c r="BD27" s="215" t="str" cm="1">
        <f t="array" aca="1" ref="BD27" ca="1">IF($B27="","",IF(ISBLANK(INDIRECT("R9.Web!D"&amp;SUM(18,38*20,8))),"",INDIRECT("R9.Web!D"&amp;SUM(18,38*20,8))))</f>
        <v>N/T</v>
      </c>
      <c r="BE27" s="215" t="str" cm="1">
        <f t="array" aca="1" ref="BE27" ca="1">IF($B27="","",IF(ISBLANK(INDIRECT("R9.Web!D"&amp;SUM(18,38*21,8))),"",INDIRECT("R9.Web!D"&amp;SUM(18,38*21,8))))</f>
        <v>N/T</v>
      </c>
      <c r="BF27" s="215" t="str" cm="1">
        <f t="array" aca="1" ref="BF27" ca="1">IF($B27="","",IF(ISBLANK(INDIRECT("R9.Web!D"&amp;SUM(18,38*22,8))),"",INDIRECT("R9.Web!D"&amp;SUM(18,38*22,8))))</f>
        <v>N/D</v>
      </c>
      <c r="BG27" s="215" t="str" cm="1">
        <f t="array" aca="1" ref="BG27" ca="1">IF($B27="","",IF(ISBLANK(INDIRECT("R9.Web!D"&amp;SUM(18,38*23,8))),"",INDIRECT("R9.Web!D"&amp;SUM(18,38*23,8))))</f>
        <v>N/D</v>
      </c>
      <c r="BH27" s="215" t="str" cm="1">
        <f t="array" aca="1" ref="BH27" ca="1">IF($B27="","",IF(ISBLANK(INDIRECT("R9.Web!D"&amp;SUM(18,38*24,8))),"",INDIRECT("R9.Web!D"&amp;SUM(18,38*24,8))))</f>
        <v>N/T</v>
      </c>
      <c r="BI27" s="215" t="str" cm="1">
        <f t="array" aca="1" ref="BI27" ca="1">IF($B27="","",IF(ISBLANK(INDIRECT("R9.Web!D"&amp;SUM(18,38*25,8))),"",INDIRECT("R9.Web!D"&amp;SUM(18,38*25,8))))</f>
        <v>N/D</v>
      </c>
      <c r="BJ27" s="215" t="str" cm="1">
        <f t="array" aca="1" ref="BJ27" ca="1">IF($B27="","",IF(ISBLANK(INDIRECT("R9.Web!D"&amp;SUM(18,38*26,8))),"",INDIRECT("R9.Web!D"&amp;SUM(18,38*26,8))))</f>
        <v>N/D</v>
      </c>
      <c r="BK27" s="215" t="str" cm="1">
        <f t="array" aca="1" ref="BK27" ca="1">IF($B27="","",IF(ISBLANK(INDIRECT("R9.Web!D"&amp;SUM(18,38*27,8))),"",INDIRECT("R9.Web!D"&amp;SUM(18,38*27,8))))</f>
        <v>N/D</v>
      </c>
      <c r="BL27" s="215" t="str" cm="1">
        <f t="array" aca="1" ref="BL27" ca="1">IF($B27="","",IF(ISBLANK(INDIRECT("R9.Web!D"&amp;SUM(18,38*28,8))),"",INDIRECT("R9.Web!D"&amp;SUM(18,38*28,8))))</f>
        <v>N/D</v>
      </c>
      <c r="BM27" s="215" t="str" cm="1">
        <f t="array" aca="1" ref="BM27" ca="1">IF($B27="","",IF(ISBLANK(INDIRECT("R9.Web!D"&amp;SUM(18,38*29,8))),"",INDIRECT("R9.Web!D"&amp;SUM(18,38*29,8))))</f>
        <v>N/D</v>
      </c>
      <c r="BN27" s="215" t="str" cm="1">
        <f t="array" aca="1" ref="BN27" ca="1">IF($B27="","",IF(ISBLANK(INDIRECT("R9.Web!D"&amp;SUM(18,38*30,8))),"",INDIRECT("R9.Web!D"&amp;SUM(18,38*30,8))))</f>
        <v>N/T</v>
      </c>
      <c r="BO27" s="215" t="str" cm="1">
        <f t="array" aca="1" ref="BO27" ca="1">IF($B27="","",IF(ISBLANK(INDIRECT("R9.Web!D"&amp;SUM(18,38*31,8))),"",INDIRECT("R9.Web!D"&amp;SUM(18,38*31,8))))</f>
        <v>N/D</v>
      </c>
      <c r="BP27" s="215" t="str" cm="1">
        <f t="array" aca="1" ref="BP27" ca="1">IF($B27="","",IF(ISBLANK(INDIRECT("R9.Web!D"&amp;SUM(18,38*32,8))),"",INDIRECT("R9.Web!D"&amp;SUM(18,38*32,8))))</f>
        <v>N/T</v>
      </c>
      <c r="BQ27" s="215" t="str" cm="1">
        <f t="array" aca="1" ref="BQ27" ca="1">IF($B27="","",IF(ISBLANK(INDIRECT("R9.Web!D"&amp;SUM(18,38*33,8))),"",INDIRECT("R9.Web!D"&amp;SUM(18,38*33,8))))</f>
        <v>N/T</v>
      </c>
      <c r="BR27" s="215" t="str" cm="1">
        <f t="array" aca="1" ref="BR27" ca="1">IF($B27="","",IF(ISBLANK(INDIRECT("R9.Web!D"&amp;SUM(18,38*34,8))),"",INDIRECT("R9.Web!D"&amp;SUM(18,38*34,8))))</f>
        <v>N/D</v>
      </c>
      <c r="BS27" s="215" t="str" cm="1">
        <f t="array" aca="1" ref="BS27" ca="1">IF($B27="","",IF(ISBLANK(INDIRECT("R9.Web!D"&amp;SUM(18,38*35,8))),"",INDIRECT("R9.Web!D"&amp;SUM(18,38*35,8))))</f>
        <v>N/T</v>
      </c>
      <c r="BT27" s="215" t="str" cm="1">
        <f t="array" aca="1" ref="BT27" ca="1">IF($B27="","",IF(ISBLANK(INDIRECT("R9.Web!D"&amp;SUM(18,38*36,8))),"",INDIRECT("R9.Web!D"&amp;SUM(18,38*36,8))))</f>
        <v>N/D</v>
      </c>
      <c r="BU27" s="215" t="str" cm="1">
        <f t="array" aca="1" ref="BU27" ca="1">IF($B27="","",IF(ISBLANK(INDIRECT("R9.Web!D"&amp;SUM(18,38*37,8))),"",INDIRECT("R9.Web!D"&amp;SUM(18,38*37,8))))</f>
        <v>N/D</v>
      </c>
      <c r="BV27" s="215" t="str" cm="1">
        <f t="array" aca="1" ref="BV27" ca="1">IF($B27="","",IF(ISBLANK(INDIRECT("R9.Web!D"&amp;SUM(18,38*38,8))),"",INDIRECT("R9.Web!D"&amp;SUM(18,38*38,8))))</f>
        <v>N/D</v>
      </c>
      <c r="BW27" s="215" t="str" cm="1">
        <f t="array" aca="1" ref="BW27" ca="1">IF($B27="","",IF(ISBLANK(INDIRECT("R9.Web!D"&amp;SUM(18,38*39,8))),"",INDIRECT("R9.Web!D"&amp;SUM(18,38*39,8))))</f>
        <v>N/D</v>
      </c>
      <c r="BX27" s="215" t="str" cm="1">
        <f t="array" aca="1" ref="BX27" ca="1">IF($B27="","",IF(ISBLANK(INDIRECT("R9.Web!D"&amp;SUM(18,38*40,8))),"",INDIRECT("R9.Web!D"&amp;SUM(18,38*40,8))))</f>
        <v>N/D</v>
      </c>
      <c r="BY27" s="215" t="str" cm="1">
        <f t="array" aca="1" ref="BY27" ca="1">IF($B27="","",IF(ISBLANK(INDIRECT("R9.Web!D"&amp;SUM(18,38*41,8))),"",INDIRECT("R9.Web!D"&amp;SUM(18,38*41,8))))</f>
        <v>N/T</v>
      </c>
      <c r="BZ27" s="215" t="str" cm="1">
        <f t="array" aca="1" ref="BZ27" ca="1">IF($B27="","",IF(ISBLANK(INDIRECT("R9.Web!D"&amp;SUM(18,38*42,8))),"",INDIRECT("R9.Web!D"&amp;SUM(18,38*42,8))))</f>
        <v>N/T</v>
      </c>
      <c r="CA27" s="215" t="str" cm="1">
        <f t="array" aca="1" ref="CA27" ca="1">IF($B27="","",IF(ISBLANK(INDIRECT("R9.Web!D"&amp;SUM(18,38*43,8))),"",INDIRECT("R9.Web!D"&amp;SUM(18,38*43,8))))</f>
        <v>N/D</v>
      </c>
      <c r="CB27" s="215" t="str" cm="1">
        <f t="array" aca="1" ref="CB27" ca="1">IF($B27="","",IF(ISBLANK(INDIRECT("R9.Web!D"&amp;SUM(18,38*44,8))),"",INDIRECT("R9.Web!D"&amp;SUM(18,38*44,8))))</f>
        <v>N/T</v>
      </c>
      <c r="CC27" s="215" t="str" cm="1">
        <f t="array" aca="1" ref="CC27" ca="1">IF($B27="","",IF(ISBLANK(INDIRECT("R9.Web!D"&amp;SUM(18,38*45,8))),"",INDIRECT("R9.Web!D"&amp;SUM(18,38*45,8))))</f>
        <v>N/T</v>
      </c>
      <c r="CD27" s="215" t="str" cm="1">
        <f t="array" aca="1" ref="CD27" ca="1">IF($B27="","",IF(ISBLANK(INDIRECT("R9.Web!D"&amp;SUM(18,38*46,8))),"",INDIRECT("R9.Web!D"&amp;SUM(18,38*46,8))))</f>
        <v>N/T</v>
      </c>
      <c r="CE27" s="215" t="str" cm="1">
        <f t="array" aca="1" ref="CE27" ca="1">IF($B27="","",IF(ISBLANK(INDIRECT("R9.Web!D"&amp;SUM(18,38*47,8))),"",INDIRECT("R9.Web!D"&amp;SUM(18,38*47,8))))</f>
        <v>N/D</v>
      </c>
      <c r="CF27" s="215" t="str" cm="1">
        <f t="array" aca="1" ref="CF27" ca="1">IF($B27="","",IF(ISBLANK(INDIRECT("R9.Web!D"&amp;SUM(18,38*48,8))),"",INDIRECT("R9.Web!D"&amp;SUM(18,38*48,8))))</f>
        <v>N/T</v>
      </c>
      <c r="CG27" s="215" t="str" cm="1">
        <f t="array" aca="1" ref="CG27" ca="1">IF($B27="","",IF(ISBLANK(INDIRECT("R9.Web!D"&amp;SUM(18,38*49,8))),"",INDIRECT("R9.Web!D"&amp;SUM(18,38*49,8))))</f>
        <v>N/T</v>
      </c>
      <c r="CH27" s="215" t="str" cm="1">
        <f t="array" aca="1" ref="CH27" ca="1">IF($B27="","",IF(ISBLANK(INDIRECT("R11.Software!D"&amp;SUM(18,38*0,8))),"",INDIRECT("R11.Software!D"&amp;SUM(18,38*0,8))))</f>
        <v>N/T</v>
      </c>
      <c r="CI27" s="215" t="str" cm="1">
        <f t="array" aca="1" ref="CI27" ca="1">IF($B27="","",IF(ISBLANK(INDIRECT("R11.Software!D"&amp;SUM(18,38*1,8))),"",INDIRECT("R11.Software!D"&amp;SUM(18,38*1,8))))</f>
        <v>N/T</v>
      </c>
      <c r="CJ27" s="215" t="str" cm="1">
        <f t="array" aca="1" ref="CJ27" ca="1">IF($B27="","",IF(ISBLANK(INDIRECT("R11.Software!D"&amp;SUM(18,38*2,8))),"",INDIRECT("R11.Software!D"&amp;SUM(18,38*2,8))))</f>
        <v>N/T</v>
      </c>
      <c r="CK27" s="215" t="str" cm="1">
        <f t="array" aca="1" ref="CK27" ca="1">IF($B27="","",IF(ISBLANK(INDIRECT("R11.Software!D"&amp;SUM(18,38*3,8))),"",INDIRECT("R11.Software!D"&amp;SUM(18,38*3,8))))</f>
        <v>N/T</v>
      </c>
      <c r="CL27" s="215" t="str" cm="1">
        <f t="array" aca="1" ref="CL27" ca="1">IF($B27="","",IF(ISBLANK(INDIRECT("R11.Software!D"&amp;SUM(18,38*4,8))),"",INDIRECT("R11.Software!D"&amp;SUM(18,38*4,8))))</f>
        <v>N/T</v>
      </c>
      <c r="CM27" s="215" t="str" cm="1">
        <f t="array" aca="1" ref="CM27" ca="1">IF($B27="","",IF(ISBLANK(INDIRECT("R11.Software!D"&amp;SUM(18,38*5,8))),"",INDIRECT("R11.Software!D"&amp;SUM(18,38*5,8))))</f>
        <v>N/T</v>
      </c>
      <c r="CN27" s="215" t="str" cm="1">
        <f t="array" aca="1" ref="CN27" ca="1">IF($B27="","",IF(ISBLANK(INDIRECT("R12.ServiciosApoyo!D"&amp;SUM(18,38*0,8))),"",INDIRECT("R12.ServiciosApoyo!D"&amp;SUM(18,38*0,8))))</f>
        <v>N/T</v>
      </c>
      <c r="CO27" s="215" t="str" cm="1">
        <f t="array" aca="1" ref="CO27" ca="1">IF($B27="","",IF(ISBLANK(INDIRECT("R12.ServiciosApoyo!D"&amp;SUM(18,38*1,8))),"",INDIRECT("R12.ServiciosApoyo!D"&amp;SUM(18,38*1,8))))</f>
        <v>N/T</v>
      </c>
      <c r="CP27" s="215" t="str" cm="1">
        <f t="array" aca="1" ref="CP27" ca="1">IF($B27="","",IF(ISBLANK(INDIRECT("R12.ServiciosApoyo!D"&amp;SUM(18,38*2,8))),"",INDIRECT("R12.ServiciosApoyo!D"&amp;SUM(18,38*2,8))))</f>
        <v>N/T</v>
      </c>
      <c r="CQ27" s="215" t="str" cm="1">
        <f t="array" aca="1" ref="CQ27" ca="1">IF($B27="","",IF(ISBLANK(INDIRECT("R12.ServiciosApoyo!D"&amp;SUM(18,38*3,8))),"",INDIRECT("R12.ServiciosApoyo!D"&amp;SUM(18,38*3,8))))</f>
        <v>N/T</v>
      </c>
      <c r="CR27" s="215" t="str" cm="1">
        <f t="array" aca="1" ref="CR27" ca="1">IF($B27="","",IF(ISBLANK(INDIRECT("R12.ServiciosApoyo!D"&amp;SUM(18,38*4,8))),"",INDIRECT("R12.ServiciosApoyo!D"&amp;SUM(18,38*4,8))))</f>
        <v>N/T</v>
      </c>
      <c r="CU27" s="100"/>
      <c r="CV27" s="29"/>
      <c r="CW27" s="29"/>
      <c r="CX27" s="29"/>
    </row>
    <row r="28" spans="2:102" ht="20.25">
      <c r="B28" s="181" t="n" cm="1">
        <f t="array" ref="B28">IFERROR(INDEX('03.Muestra'!$B$8:$B$42,SMALL(IF("Página Web"='03.Muestra'!$D$8:$D$42,ROW('03.Muestra'!$B$8:$B$42)-MIN(ROW('03.Muestra'!$D$8:$D$42))+1,""),ROW()-19)),"")</f>
        <v>1.0</v>
      </c>
      <c r="C28" s="97" t="str" cm="1">
        <f t="array" ref="C28">IFERROR(INDEX('03.Muestra'!$C$8:$C$42,SMALL(IF("Página Web"='03.Muestra'!$D$8:$D$42,ROW('03.Muestra'!$C$8:$C$42)-MIN(ROW('03.Muestra'!$D$8:$D$42))+1,""),ROW()-19)),"")</f>
        <v>Home - PortCastelló</v>
      </c>
      <c r="D28" s="98" t="str" cm="1">
        <f t="array" ref="D28">IFERROR(INDEX('03.Muestra'!$F$8:$F$42,SMALL(IF("Página Web"='03.Muestra'!$D$8:$D$42,ROW('03.Muestra'!$F$8:$F$42)-MIN(ROW('03.Muestra'!$D$8:$D$42))+1,""),ROW()-19)),"")</f>
        <v>https://www.portcastello.com/</v>
      </c>
      <c r="E28" s="215" t="str" cm="1">
        <f t="array" aca="1" ref="E28" ca="1">IF($B28="","",IF(ISBLANK(INDIRECT("R5.Genéricos!D"&amp;SUM(18,38*0,9))),"",INDIRECT("R5.Genéricos!D"&amp;SUM(18,38*0,9))))</f>
        <v>N/T</v>
      </c>
      <c r="F28" s="215" t="str" cm="1">
        <f t="array" aca="1" ref="F28" ca="1">IF($B28="","",IF(ISBLANK(INDIRECT("R5.Genéricos!D"&amp;SUM(18,38*1,9))),"",INDIRECT("R5.Genéricos!D"&amp;SUM(18,38*1,9))))</f>
        <v>N/T</v>
      </c>
      <c r="G28" s="215" t="str" cm="1">
        <f t="array" aca="1" ref="G28" ca="1">IF($B28="","",IF(ISBLANK(INDIRECT("R5.Genéricos!D"&amp;SUM(18,38*2,9))),"",INDIRECT("R5.Genéricos!D"&amp;SUM(18,38*2,9))))</f>
        <v>N/T</v>
      </c>
      <c r="H28" s="215" t="str" cm="1">
        <f t="array" aca="1" ref="H28" ca="1">IF($B28="","",IF(ISBLANK(INDIRECT("R6.Voz!D"&amp;SUM(18,38*0,9))),"",INDIRECT("R6.Voz!D"&amp;SUM(18,38*0,9))))</f>
        <v>N/T</v>
      </c>
      <c r="I28" s="215" t="str" cm="1">
        <f t="array" aca="1" ref="I28" ca="1">IF($B28="","",IF(ISBLANK(INDIRECT("R6.Voz!D"&amp;SUM(18,38*1,9))),"",INDIRECT("R6.Voz!D"&amp;SUM(18,38*1,9))))</f>
        <v>N/T</v>
      </c>
      <c r="J28" s="215" t="str" cm="1">
        <f t="array" aca="1" ref="J28" ca="1">IF($B28="","",IF(ISBLANK(INDIRECT("R6.Voz!D"&amp;SUM(18,38*2,9))),"",INDIRECT("R6.Voz!D"&amp;SUM(18,38*2,9))))</f>
        <v>N/T</v>
      </c>
      <c r="K28" s="215" t="str" cm="1">
        <f t="array" aca="1" ref="K28" ca="1">IF($B28="","",IF(ISBLANK(INDIRECT("R6.Voz!D"&amp;SUM(18,38*3,9))),"",INDIRECT("R6.Voz!D"&amp;SUM(18,38*3,9))))</f>
        <v>N/T</v>
      </c>
      <c r="L28" s="215" t="str" cm="1">
        <f t="array" aca="1" ref="L28" ca="1">IF($B28="","",IF(ISBLANK(INDIRECT("R6.Voz!D"&amp;SUM(18,38*4,9))),"",INDIRECT("R6.Voz!D"&amp;SUM(18,38*4,9))))</f>
        <v>N/T</v>
      </c>
      <c r="M28" s="215" t="str" cm="1">
        <f t="array" aca="1" ref="M28" ca="1">IF($B28="","",IF(ISBLANK(INDIRECT("R6.Voz!D"&amp;SUM(18,38*5,9))),"",INDIRECT("R6.Voz!D"&amp;SUM(18,38*5,9))))</f>
        <v>N/T</v>
      </c>
      <c r="N28" s="215" t="str" cm="1">
        <f t="array" aca="1" ref="N28" ca="1">IF($B28="","",IF(ISBLANK(INDIRECT("R6.Voz!D"&amp;SUM(18,38*6,9))),"",INDIRECT("R6.Voz!D"&amp;SUM(18,38*6,9))))</f>
        <v>N/T</v>
      </c>
      <c r="O28" s="215" t="str" cm="1">
        <f t="array" aca="1" ref="O28" ca="1">IF($B28="","",IF(ISBLANK(INDIRECT("R6.Voz!D"&amp;SUM(18,38*7,9))),"",INDIRECT("R6.Voz!D"&amp;SUM(18,38*7,9))))</f>
        <v>N/T</v>
      </c>
      <c r="P28" s="215" t="str" cm="1">
        <f t="array" aca="1" ref="P28" ca="1">IF($B28="","",IF(ISBLANK(INDIRECT("R6.Voz!D"&amp;SUM(18,38*8,9))),"",INDIRECT("R6.Voz!D"&amp;SUM(18,38*8,9))))</f>
        <v>N/T</v>
      </c>
      <c r="Q28" s="215" t="str" cm="1">
        <f t="array" aca="1" ref="Q28" ca="1">IF($B28="","",IF(ISBLANK(INDIRECT("R6.Voz!D"&amp;SUM(18,38*9,9))),"",INDIRECT("R6.Voz!D"&amp;SUM(18,38*9,9))))</f>
        <v>N/T</v>
      </c>
      <c r="R28" s="215" t="str" cm="1">
        <f t="array" aca="1" ref="R28" ca="1">IF($B28="","",IF(ISBLANK(INDIRECT("R6.Voz!D"&amp;SUM(18,38*10,9))),"",INDIRECT("R6.Voz!D"&amp;SUM(18,38*10,9))))</f>
        <v>N/T</v>
      </c>
      <c r="S28" s="215" t="str" cm="1">
        <f t="array" aca="1" ref="S28" ca="1">IF($B28="","",IF(ISBLANK(INDIRECT("R6.Voz!D"&amp;SUM(18,38*11,9))),"",INDIRECT("R6.Voz!D"&amp;SUM(18,38*11,9))))</f>
        <v>N/T</v>
      </c>
      <c r="T28" s="215" t="str" cm="1">
        <f t="array" aca="1" ref="T28" ca="1">IF($B28="","",IF(ISBLANK(INDIRECT("R6.Voz!D"&amp;SUM(18,38*12,9))),"",INDIRECT("R6.Voz!D"&amp;SUM(18,38*12,9))))</f>
        <v>N/T</v>
      </c>
      <c r="U28" s="215" t="str" cm="1">
        <f t="array" aca="1" ref="U28" ca="1">IF($B28="","",IF(ISBLANK(INDIRECT("R6.Voz!D"&amp;SUM(18,38*13,9))),"",INDIRECT("R6.Voz!D"&amp;SUM(18,38*13,9))))</f>
        <v>N/T</v>
      </c>
      <c r="V28" s="215" t="str" cm="1">
        <f t="array" aca="1" ref="V28" ca="1">IF($B28="","",IF(ISBLANK(INDIRECT("R6.Voz!D"&amp;SUM(18,38*14,9))),"",INDIRECT("R6.Voz!D"&amp;SUM(18,38*14,9))))</f>
        <v>N/T</v>
      </c>
      <c r="W28" s="215" t="str" cm="1">
        <f t="array" aca="1" ref="W28" ca="1">IF($B28="","",IF(ISBLANK(INDIRECT("R6.Voz!D"&amp;SUM(18,38*15,9))),"",INDIRECT("R6.Voz!D"&amp;SUM(18,38*15,9))))</f>
        <v>N/T</v>
      </c>
      <c r="X28" s="215" t="str" cm="1">
        <f t="array" aca="1" ref="X28" ca="1">IF($B28="","",IF(ISBLANK(INDIRECT("R6.Voz!D"&amp;SUM(18,38*16,9))),"",INDIRECT("R6.Voz!D"&amp;SUM(18,38*16,9))))</f>
        <v>N/T</v>
      </c>
      <c r="Y28" s="215" t="str" cm="1">
        <f t="array" aca="1" ref="Y28" ca="1">IF($B28="","",IF(ISBLANK(INDIRECT("R6.Voz!D"&amp;SUM(18,38*17,9))),"",INDIRECT("R6.Voz!D"&amp;SUM(18,38*17,9))))</f>
        <v>N/T</v>
      </c>
      <c r="Z28" s="215" t="str" cm="1">
        <f t="array" aca="1" ref="Z28" ca="1">IF($B28="","",IF(ISBLANK(INDIRECT("R6.Voz!D"&amp;SUM(18,38*18,9))),"",INDIRECT("R6.Voz!D"&amp;SUM(18,38*18,9))))</f>
        <v>N/T</v>
      </c>
      <c r="AA28" s="215" t="str" cm="1">
        <f t="array" aca="1" ref="AA28" ca="1">IF($B28="","",IF(ISBLANK(INDIRECT("R7.Video!D"&amp;SUM(18,38*0,9))),"",INDIRECT("R7.Video!D"&amp;SUM(18,38*0,9))))</f>
        <v>N/T</v>
      </c>
      <c r="AB28" s="215" t="str" cm="1">
        <f t="array" aca="1" ref="AB28" ca="1">IF($B28="","",IF(ISBLANK(INDIRECT("R7.Video!D"&amp;SUM(18,38*1,9))),"",INDIRECT("R7.Video!D"&amp;SUM(18,38*1,9))))</f>
        <v>N/T</v>
      </c>
      <c r="AC28" s="215" t="str" cm="1">
        <f t="array" aca="1" ref="AC28" ca="1">IF($B28="","",IF(ISBLANK(INDIRECT("R7.Video!D"&amp;SUM(18,38*2,9))),"",INDIRECT("R7.Video!D"&amp;SUM(18,38*2,9))))</f>
        <v>N/T</v>
      </c>
      <c r="AD28" s="215" t="str" cm="1">
        <f t="array" aca="1" ref="AD28" ca="1">IF($B28="","",IF(ISBLANK(INDIRECT("R7.Video!D"&amp;SUM(18,38*3,9))),"",INDIRECT("R7.Video!D"&amp;SUM(18,38*3,9))))</f>
        <v>N/T</v>
      </c>
      <c r="AE28" s="215" t="str" cm="1">
        <f t="array" aca="1" ref="AE28" ca="1">IF($B28="","",IF(ISBLANK(INDIRECT("R7.Video!D"&amp;SUM(18,38*4,9))),"",INDIRECT("R7.Video!D"&amp;SUM(18,38*4,9))))</f>
        <v>N/T</v>
      </c>
      <c r="AF28" s="215" t="str" cm="1">
        <f t="array" aca="1" ref="AF28" ca="1">IF($B28="","",IF(ISBLANK(INDIRECT("R7.Video!D"&amp;SUM(18,38*5,9))),"",INDIRECT("R7.Video!D"&amp;SUM(18,38*5,9))))</f>
        <v>N/T</v>
      </c>
      <c r="AG28" s="215" t="str" cm="1">
        <f t="array" aca="1" ref="AG28" ca="1">IF($B28="","",IF(ISBLANK(INDIRECT("R7.Video!D"&amp;SUM(18,38*6,9))),"",INDIRECT("R7.Video!D"&amp;SUM(18,38*6,9))))</f>
        <v>N/T</v>
      </c>
      <c r="AH28" s="215" t="str" cm="1">
        <f t="array" aca="1" ref="AH28" ca="1">IF($B28="","",IF(ISBLANK(INDIRECT("R7.Video!D"&amp;SUM(18,38*7,9))),"",INDIRECT("R7.Video!D"&amp;SUM(18,38*7,9))))</f>
        <v>N/T</v>
      </c>
      <c r="AI28" s="215" t="str" cm="1">
        <f t="array" aca="1" ref="AI28" ca="1">IF($B28="","",IF(ISBLANK(INDIRECT("R7.Video!D"&amp;SUM(18,38*8,9))),"",INDIRECT("R7.Video!D"&amp;SUM(18,38*8,9))))</f>
        <v>N/T</v>
      </c>
      <c r="AJ28" s="215" t="str" cm="1">
        <f t="array" aca="1" ref="AJ28" ca="1">IF($B28="","",IF(ISBLANK(INDIRECT("R9.Web!D"&amp;SUM(18,38*0,9))),"",INDIRECT("R9.Web!D"&amp;SUM(18,38*0,9))))</f>
        <v>N/D</v>
      </c>
      <c r="AK28" s="215" t="str" cm="1">
        <f t="array" aca="1" ref="AK28" ca="1">IF($B28="","",IF(ISBLANK(INDIRECT("R9.Web!D"&amp;SUM(18,38*1,9))),"",INDIRECT("R9.Web!D"&amp;SUM(18,38*1,9))))</f>
        <v>N/T</v>
      </c>
      <c r="AL28" s="215" t="str" cm="1">
        <f t="array" aca="1" ref="AL28" ca="1">IF($B28="","",IF(ISBLANK(INDIRECT("R9.Web!D"&amp;SUM(18,38*2,9))),"",INDIRECT("R9.Web!D"&amp;SUM(18,38*2,9))))</f>
        <v>N/T</v>
      </c>
      <c r="AM28" s="215" t="str" cm="1">
        <f t="array" aca="1" ref="AM28" ca="1">IF($B28="","",IF(ISBLANK(INDIRECT("R9.Web!D"&amp;SUM(18,38*3,9))),"",INDIRECT("R9.Web!D"&amp;SUM(18,38*3,9))))</f>
        <v>N/T</v>
      </c>
      <c r="AN28" s="215" t="str" cm="1">
        <f t="array" aca="1" ref="AN28" ca="1">IF($B28="","",IF(ISBLANK(INDIRECT("R9.Web!D"&amp;SUM(18,38*4,9))),"",INDIRECT("R9.Web!D"&amp;SUM(18,38*4,9))))</f>
        <v>N/T</v>
      </c>
      <c r="AO28" s="215" t="str" cm="1">
        <f t="array" aca="1" ref="AO28" ca="1">IF($B28="","",IF(ISBLANK(INDIRECT("R9.Web!D"&amp;SUM(18,38*5,9))),"",INDIRECT("R9.Web!D"&amp;SUM(18,38*5,9))))</f>
        <v>N/D</v>
      </c>
      <c r="AP28" s="215" t="str" cm="1">
        <f t="array" aca="1" ref="AP28" ca="1">IF($B28="","",IF(ISBLANK(INDIRECT("R9.Web!D"&amp;SUM(18,38*6,9))),"",INDIRECT("R9.Web!D"&amp;SUM(18,38*6,9))))</f>
        <v>N/T</v>
      </c>
      <c r="AQ28" s="215" t="str" cm="1">
        <f t="array" aca="1" ref="AQ28" ca="1">IF($B28="","",IF(ISBLANK(INDIRECT("R9.Web!D"&amp;SUM(18,38*7,9))),"",INDIRECT("R9.Web!D"&amp;SUM(18,38*7,9))))</f>
        <v>N/T</v>
      </c>
      <c r="AR28" s="215" t="str" cm="1">
        <f t="array" aca="1" ref="AR28" ca="1">IF($B28="","",IF(ISBLANK(INDIRECT("R9.Web!D"&amp;SUM(18,38*8,9))),"",INDIRECT("R9.Web!D"&amp;SUM(18,38*8,9))))</f>
        <v>N/D</v>
      </c>
      <c r="AS28" s="215" t="str" cm="1">
        <f t="array" aca="1" ref="AS28" ca="1">IF($B28="","",IF(ISBLANK(INDIRECT("R9.Web!D"&amp;SUM(18,38*9,9))),"",INDIRECT("R9.Web!D"&amp;SUM(18,38*9,9))))</f>
        <v>N/D</v>
      </c>
      <c r="AT28" s="215" t="str" cm="1">
        <f t="array" aca="1" ref="AT28" ca="1">IF($B28="","",IF(ISBLANK(INDIRECT("R9.Web!D"&amp;SUM(18,38*10,9))),"",INDIRECT("R9.Web!D"&amp;SUM(18,38*10,9))))</f>
        <v>N/T</v>
      </c>
      <c r="AU28" s="215" t="str" cm="1">
        <f t="array" aca="1" ref="AU28" ca="1">IF($B28="","",IF(ISBLANK(INDIRECT("R9.Web!D"&amp;SUM(18,38*11,9))),"",INDIRECT("R9.Web!D"&amp;SUM(18,38*11,9))))</f>
        <v>N/T</v>
      </c>
      <c r="AV28" s="215" t="str" cm="1">
        <f t="array" aca="1" ref="AV28" ca="1">IF($B28="","",IF(ISBLANK(INDIRECT("R9.Web!D"&amp;SUM(18,38*12,9))),"",INDIRECT("R9.Web!D"&amp;SUM(18,38*12,9))))</f>
        <v>N/D</v>
      </c>
      <c r="AW28" s="215" t="str" cm="1">
        <f t="array" aca="1" ref="AW28" ca="1">IF($B28="","",IF(ISBLANK(INDIRECT("R9.Web!D"&amp;SUM(18,38*13,9))),"",INDIRECT("R9.Web!D"&amp;SUM(18,38*13,9))))</f>
        <v>N/T</v>
      </c>
      <c r="AX28" s="215" t="str" cm="1">
        <f t="array" aca="1" ref="AX28" ca="1">IF($B28="","",IF(ISBLANK(INDIRECT("R9.Web!D"&amp;SUM(18,38*14,9))),"",INDIRECT("R9.Web!D"&amp;SUM(18,38*14,9))))</f>
        <v>N/T</v>
      </c>
      <c r="AY28" s="215" t="str" cm="1">
        <f t="array" aca="1" ref="AY28" ca="1">IF($B28="","",IF(ISBLANK(INDIRECT("R9.Web!D"&amp;SUM(18,38*15,9))),"",INDIRECT("R9.Web!D"&amp;SUM(18,38*15,9))))</f>
        <v>N/D</v>
      </c>
      <c r="AZ28" s="215" t="str" cm="1">
        <f t="array" aca="1" ref="AZ28" ca="1">IF($B28="","",IF(ISBLANK(INDIRECT("R9.Web!D"&amp;SUM(18,38*16,9))),"",INDIRECT("R9.Web!D"&amp;SUM(18,38*16,9))))</f>
        <v>N/T</v>
      </c>
      <c r="BA28" s="215" t="str" cm="1">
        <f t="array" aca="1" ref="BA28" ca="1">IF($B28="","",IF(ISBLANK(INDIRECT("R9.Web!D"&amp;SUM(18,38*17,9))),"",INDIRECT("R9.Web!D"&amp;SUM(18,38*17,9))))</f>
        <v>N/D</v>
      </c>
      <c r="BB28" s="215" t="str" cm="1">
        <f t="array" aca="1" ref="BB28" ca="1">IF($B28="","",IF(ISBLANK(INDIRECT("R9.Web!D"&amp;SUM(18,38*18,9))),"",INDIRECT("R9.Web!D"&amp;SUM(18,38*18,9))))</f>
        <v>N/T</v>
      </c>
      <c r="BC28" s="215" t="str" cm="1">
        <f t="array" aca="1" ref="BC28" ca="1">IF($B28="","",IF(ISBLANK(INDIRECT("R9.Web!D"&amp;SUM(18,38*19,9))),"",INDIRECT("R9.Web!D"&amp;SUM(18,38*19,9))))</f>
        <v>N/D</v>
      </c>
      <c r="BD28" s="215" t="str" cm="1">
        <f t="array" aca="1" ref="BD28" ca="1">IF($B28="","",IF(ISBLANK(INDIRECT("R9.Web!D"&amp;SUM(18,38*20,9))),"",INDIRECT("R9.Web!D"&amp;SUM(18,38*20,9))))</f>
        <v>N/T</v>
      </c>
      <c r="BE28" s="215" t="str" cm="1">
        <f t="array" aca="1" ref="BE28" ca="1">IF($B28="","",IF(ISBLANK(INDIRECT("R9.Web!D"&amp;SUM(18,38*21,9))),"",INDIRECT("R9.Web!D"&amp;SUM(18,38*21,9))))</f>
        <v>N/T</v>
      </c>
      <c r="BF28" s="215" t="str" cm="1">
        <f t="array" aca="1" ref="BF28" ca="1">IF($B28="","",IF(ISBLANK(INDIRECT("R9.Web!D"&amp;SUM(18,38*22,9))),"",INDIRECT("R9.Web!D"&amp;SUM(18,38*22,9))))</f>
        <v>N/D</v>
      </c>
      <c r="BG28" s="215" t="str" cm="1">
        <f t="array" aca="1" ref="BG28" ca="1">IF($B28="","",IF(ISBLANK(INDIRECT("R9.Web!D"&amp;SUM(18,38*23,9))),"",INDIRECT("R9.Web!D"&amp;SUM(18,38*23,9))))</f>
        <v>N/D</v>
      </c>
      <c r="BH28" s="215" t="str" cm="1">
        <f t="array" aca="1" ref="BH28" ca="1">IF($B28="","",IF(ISBLANK(INDIRECT("R9.Web!D"&amp;SUM(18,38*24,9))),"",INDIRECT("R9.Web!D"&amp;SUM(18,38*24,9))))</f>
        <v>N/T</v>
      </c>
      <c r="BI28" s="215" t="str" cm="1">
        <f t="array" aca="1" ref="BI28" ca="1">IF($B28="","",IF(ISBLANK(INDIRECT("R9.Web!D"&amp;SUM(18,38*25,9))),"",INDIRECT("R9.Web!D"&amp;SUM(18,38*25,9))))</f>
        <v>N/D</v>
      </c>
      <c r="BJ28" s="215" t="str" cm="1">
        <f t="array" aca="1" ref="BJ28" ca="1">IF($B28="","",IF(ISBLANK(INDIRECT("R9.Web!D"&amp;SUM(18,38*26,9))),"",INDIRECT("R9.Web!D"&amp;SUM(18,38*26,9))))</f>
        <v>N/D</v>
      </c>
      <c r="BK28" s="215" t="str" cm="1">
        <f t="array" aca="1" ref="BK28" ca="1">IF($B28="","",IF(ISBLANK(INDIRECT("R9.Web!D"&amp;SUM(18,38*27,9))),"",INDIRECT("R9.Web!D"&amp;SUM(18,38*27,9))))</f>
        <v>N/D</v>
      </c>
      <c r="BL28" s="215" t="str" cm="1">
        <f t="array" aca="1" ref="BL28" ca="1">IF($B28="","",IF(ISBLANK(INDIRECT("R9.Web!D"&amp;SUM(18,38*28,9))),"",INDIRECT("R9.Web!D"&amp;SUM(18,38*28,9))))</f>
        <v>N/D</v>
      </c>
      <c r="BM28" s="215" t="str" cm="1">
        <f t="array" aca="1" ref="BM28" ca="1">IF($B28="","",IF(ISBLANK(INDIRECT("R9.Web!D"&amp;SUM(18,38*29,9))),"",INDIRECT("R9.Web!D"&amp;SUM(18,38*29,9))))</f>
        <v>N/D</v>
      </c>
      <c r="BN28" s="215" t="str" cm="1">
        <f t="array" aca="1" ref="BN28" ca="1">IF($B28="","",IF(ISBLANK(INDIRECT("R9.Web!D"&amp;SUM(18,38*30,9))),"",INDIRECT("R9.Web!D"&amp;SUM(18,38*30,9))))</f>
        <v>N/T</v>
      </c>
      <c r="BO28" s="215" t="str" cm="1">
        <f t="array" aca="1" ref="BO28" ca="1">IF($B28="","",IF(ISBLANK(INDIRECT("R9.Web!D"&amp;SUM(18,38*31,9))),"",INDIRECT("R9.Web!D"&amp;SUM(18,38*31,9))))</f>
        <v>N/D</v>
      </c>
      <c r="BP28" s="215" t="str" cm="1">
        <f t="array" aca="1" ref="BP28" ca="1">IF($B28="","",IF(ISBLANK(INDIRECT("R9.Web!D"&amp;SUM(18,38*32,9))),"",INDIRECT("R9.Web!D"&amp;SUM(18,38*32,9))))</f>
        <v>N/T</v>
      </c>
      <c r="BQ28" s="215" t="str" cm="1">
        <f t="array" aca="1" ref="BQ28" ca="1">IF($B28="","",IF(ISBLANK(INDIRECT("R9.Web!D"&amp;SUM(18,38*33,9))),"",INDIRECT("R9.Web!D"&amp;SUM(18,38*33,9))))</f>
        <v>N/T</v>
      </c>
      <c r="BR28" s="215" t="str" cm="1">
        <f t="array" aca="1" ref="BR28" ca="1">IF($B28="","",IF(ISBLANK(INDIRECT("R9.Web!D"&amp;SUM(18,38*34,9))),"",INDIRECT("R9.Web!D"&amp;SUM(18,38*34,9))))</f>
        <v>N/D</v>
      </c>
      <c r="BS28" s="215" t="str" cm="1">
        <f t="array" aca="1" ref="BS28" ca="1">IF($B28="","",IF(ISBLANK(INDIRECT("R9.Web!D"&amp;SUM(18,38*35,9))),"",INDIRECT("R9.Web!D"&amp;SUM(18,38*35,9))))</f>
        <v>N/T</v>
      </c>
      <c r="BT28" s="215" t="str" cm="1">
        <f t="array" aca="1" ref="BT28" ca="1">IF($B28="","",IF(ISBLANK(INDIRECT("R9.Web!D"&amp;SUM(18,38*36,9))),"",INDIRECT("R9.Web!D"&amp;SUM(18,38*36,9))))</f>
        <v>N/D</v>
      </c>
      <c r="BU28" s="215" t="str" cm="1">
        <f t="array" aca="1" ref="BU28" ca="1">IF($B28="","",IF(ISBLANK(INDIRECT("R9.Web!D"&amp;SUM(18,38*37,9))),"",INDIRECT("R9.Web!D"&amp;SUM(18,38*37,9))))</f>
        <v>N/D</v>
      </c>
      <c r="BV28" s="215" t="str" cm="1">
        <f t="array" aca="1" ref="BV28" ca="1">IF($B28="","",IF(ISBLANK(INDIRECT("R9.Web!D"&amp;SUM(18,38*38,9))),"",INDIRECT("R9.Web!D"&amp;SUM(18,38*38,9))))</f>
        <v>N/D</v>
      </c>
      <c r="BW28" s="215" t="str" cm="1">
        <f t="array" aca="1" ref="BW28" ca="1">IF($B28="","",IF(ISBLANK(INDIRECT("R9.Web!D"&amp;SUM(18,38*39,9))),"",INDIRECT("R9.Web!D"&amp;SUM(18,38*39,9))))</f>
        <v>N/D</v>
      </c>
      <c r="BX28" s="215" t="str" cm="1">
        <f t="array" aca="1" ref="BX28" ca="1">IF($B28="","",IF(ISBLANK(INDIRECT("R9.Web!D"&amp;SUM(18,38*40,9))),"",INDIRECT("R9.Web!D"&amp;SUM(18,38*40,9))))</f>
        <v>N/D</v>
      </c>
      <c r="BY28" s="215" t="str" cm="1">
        <f t="array" aca="1" ref="BY28" ca="1">IF($B28="","",IF(ISBLANK(INDIRECT("R9.Web!D"&amp;SUM(18,38*41,9))),"",INDIRECT("R9.Web!D"&amp;SUM(18,38*41,9))))</f>
        <v>N/T</v>
      </c>
      <c r="BZ28" s="215" t="str" cm="1">
        <f t="array" aca="1" ref="BZ28" ca="1">IF($B28="","",IF(ISBLANK(INDIRECT("R9.Web!D"&amp;SUM(18,38*42,9))),"",INDIRECT("R9.Web!D"&amp;SUM(18,38*42,9))))</f>
        <v>N/T</v>
      </c>
      <c r="CA28" s="215" t="str" cm="1">
        <f t="array" aca="1" ref="CA28" ca="1">IF($B28="","",IF(ISBLANK(INDIRECT("R9.Web!D"&amp;SUM(18,38*43,9))),"",INDIRECT("R9.Web!D"&amp;SUM(18,38*43,9))))</f>
        <v>N/D</v>
      </c>
      <c r="CB28" s="215" t="str" cm="1">
        <f t="array" aca="1" ref="CB28" ca="1">IF($B28="","",IF(ISBLANK(INDIRECT("R9.Web!D"&amp;SUM(18,38*44,9))),"",INDIRECT("R9.Web!D"&amp;SUM(18,38*44,9))))</f>
        <v>N/T</v>
      </c>
      <c r="CC28" s="215" t="str" cm="1">
        <f t="array" aca="1" ref="CC28" ca="1">IF($B28="","",IF(ISBLANK(INDIRECT("R9.Web!D"&amp;SUM(18,38*45,9))),"",INDIRECT("R9.Web!D"&amp;SUM(18,38*45,9))))</f>
        <v>N/T</v>
      </c>
      <c r="CD28" s="215" t="str" cm="1">
        <f t="array" aca="1" ref="CD28" ca="1">IF($B28="","",IF(ISBLANK(INDIRECT("R9.Web!D"&amp;SUM(18,38*46,9))),"",INDIRECT("R9.Web!D"&amp;SUM(18,38*46,9))))</f>
        <v>N/T</v>
      </c>
      <c r="CE28" s="215" t="str" cm="1">
        <f t="array" aca="1" ref="CE28" ca="1">IF($B28="","",IF(ISBLANK(INDIRECT("R9.Web!D"&amp;SUM(18,38*47,9))),"",INDIRECT("R9.Web!D"&amp;SUM(18,38*47,9))))</f>
        <v>N/D</v>
      </c>
      <c r="CF28" s="215" t="str" cm="1">
        <f t="array" aca="1" ref="CF28" ca="1">IF($B28="","",IF(ISBLANK(INDIRECT("R9.Web!D"&amp;SUM(18,38*48,9))),"",INDIRECT("R9.Web!D"&amp;SUM(18,38*48,9))))</f>
        <v>N/T</v>
      </c>
      <c r="CG28" s="215" t="str" cm="1">
        <f t="array" aca="1" ref="CG28" ca="1">IF($B28="","",IF(ISBLANK(INDIRECT("R9.Web!D"&amp;SUM(18,38*49,9))),"",INDIRECT("R9.Web!D"&amp;SUM(18,38*49,9))))</f>
        <v>N/T</v>
      </c>
      <c r="CH28" s="215" t="str" cm="1">
        <f t="array" aca="1" ref="CH28" ca="1">IF($B28="","",IF(ISBLANK(INDIRECT("R11.Software!D"&amp;SUM(18,38*0,9))),"",INDIRECT("R11.Software!D"&amp;SUM(18,38*0,9))))</f>
        <v>N/T</v>
      </c>
      <c r="CI28" s="215" t="str" cm="1">
        <f t="array" aca="1" ref="CI28" ca="1">IF($B28="","",IF(ISBLANK(INDIRECT("R11.Software!D"&amp;SUM(18,38*1,9))),"",INDIRECT("R11.Software!D"&amp;SUM(18,38*1,9))))</f>
        <v>N/T</v>
      </c>
      <c r="CJ28" s="215" t="str" cm="1">
        <f t="array" aca="1" ref="CJ28" ca="1">IF($B28="","",IF(ISBLANK(INDIRECT("R11.Software!D"&amp;SUM(18,38*2,9))),"",INDIRECT("R11.Software!D"&amp;SUM(18,38*2,9))))</f>
        <v>N/T</v>
      </c>
      <c r="CK28" s="215" t="str" cm="1">
        <f t="array" aca="1" ref="CK28" ca="1">IF($B28="","",IF(ISBLANK(INDIRECT("R11.Software!D"&amp;SUM(18,38*3,9))),"",INDIRECT("R11.Software!D"&amp;SUM(18,38*3,9))))</f>
        <v>N/T</v>
      </c>
      <c r="CL28" s="215" t="str" cm="1">
        <f t="array" aca="1" ref="CL28" ca="1">IF($B28="","",IF(ISBLANK(INDIRECT("R11.Software!D"&amp;SUM(18,38*4,9))),"",INDIRECT("R11.Software!D"&amp;SUM(18,38*4,9))))</f>
        <v>N/T</v>
      </c>
      <c r="CM28" s="215" t="str" cm="1">
        <f t="array" aca="1" ref="CM28" ca="1">IF($B28="","",IF(ISBLANK(INDIRECT("R11.Software!D"&amp;SUM(18,38*5,9))),"",INDIRECT("R11.Software!D"&amp;SUM(18,38*5,9))))</f>
        <v>N/T</v>
      </c>
      <c r="CN28" s="215" t="str" cm="1">
        <f t="array" aca="1" ref="CN28" ca="1">IF($B28="","",IF(ISBLANK(INDIRECT("R12.ServiciosApoyo!D"&amp;SUM(18,38*0,9))),"",INDIRECT("R12.ServiciosApoyo!D"&amp;SUM(18,38*0,9))))</f>
        <v>N/T</v>
      </c>
      <c r="CO28" s="215" t="str" cm="1">
        <f t="array" aca="1" ref="CO28" ca="1">IF($B28="","",IF(ISBLANK(INDIRECT("R12.ServiciosApoyo!D"&amp;SUM(18,38*1,9))),"",INDIRECT("R12.ServiciosApoyo!D"&amp;SUM(18,38*1,9))))</f>
        <v>N/T</v>
      </c>
      <c r="CP28" s="215" t="str" cm="1">
        <f t="array" aca="1" ref="CP28" ca="1">IF($B28="","",IF(ISBLANK(INDIRECT("R12.ServiciosApoyo!D"&amp;SUM(18,38*2,9))),"",INDIRECT("R12.ServiciosApoyo!D"&amp;SUM(18,38*2,9))))</f>
        <v>N/T</v>
      </c>
      <c r="CQ28" s="215" t="str" cm="1">
        <f t="array" aca="1" ref="CQ28" ca="1">IF($B28="","",IF(ISBLANK(INDIRECT("R12.ServiciosApoyo!D"&amp;SUM(18,38*3,9))),"",INDIRECT("R12.ServiciosApoyo!D"&amp;SUM(18,38*3,9))))</f>
        <v>N/T</v>
      </c>
      <c r="CR28" s="215" t="str" cm="1">
        <f t="array" aca="1" ref="CR28" ca="1">IF($B28="","",IF(ISBLANK(INDIRECT("R12.ServiciosApoyo!D"&amp;SUM(18,38*4,9))),"",INDIRECT("R12.ServiciosApoyo!D"&amp;SUM(18,38*4,9))))</f>
        <v>N/T</v>
      </c>
      <c r="CU28" s="100"/>
      <c r="CV28" s="29"/>
      <c r="CW28" s="29"/>
      <c r="CX28" s="29"/>
    </row>
    <row r="29" spans="2:102" ht="20.25">
      <c r="B29" s="181" t="n" cm="1">
        <f t="array" ref="B29">IFERROR(INDEX('03.Muestra'!$B$8:$B$42,SMALL(IF("Página Web"='03.Muestra'!$D$8:$D$42,ROW('03.Muestra'!$B$8:$B$42)-MIN(ROW('03.Muestra'!$D$8:$D$42))+1,""),ROW()-19)),"")</f>
        <v>1.0</v>
      </c>
      <c r="C29" s="97" t="str" cm="1">
        <f t="array" ref="C29">IFERROR(INDEX('03.Muestra'!$C$8:$C$42,SMALL(IF("Página Web"='03.Muestra'!$D$8:$D$42,ROW('03.Muestra'!$C$8:$C$42)-MIN(ROW('03.Muestra'!$D$8:$D$42))+1,""),ROW()-19)),"")</f>
        <v>Home - PortCastelló</v>
      </c>
      <c r="D29" s="98" t="str" cm="1">
        <f t="array" ref="D29">IFERROR(INDEX('03.Muestra'!$F$8:$F$42,SMALL(IF("Página Web"='03.Muestra'!$D$8:$D$42,ROW('03.Muestra'!$F$8:$F$42)-MIN(ROW('03.Muestra'!$D$8:$D$42))+1,""),ROW()-19)),"")</f>
        <v>https://www.portcastello.com/</v>
      </c>
      <c r="E29" s="215" t="str" cm="1">
        <f t="array" aca="1" ref="E29" ca="1">IF($B29="","",IF(ISBLANK(INDIRECT("R5.Genéricos!D"&amp;SUM(18,38*0,10))),"",INDIRECT("R5.Genéricos!D"&amp;SUM(18,38*0,10))))</f>
        <v>N/T</v>
      </c>
      <c r="F29" s="215" t="str" cm="1">
        <f t="array" aca="1" ref="F29" ca="1">IF($B29="","",IF(ISBLANK(INDIRECT("R5.Genéricos!D"&amp;SUM(18,38*1,10))),"",INDIRECT("R5.Genéricos!D"&amp;SUM(18,38*1,10))))</f>
        <v>N/T</v>
      </c>
      <c r="G29" s="215" t="str" cm="1">
        <f t="array" aca="1" ref="G29" ca="1">IF($B29="","",IF(ISBLANK(INDIRECT("R5.Genéricos!D"&amp;SUM(18,38*2,10))),"",INDIRECT("R5.Genéricos!D"&amp;SUM(18,38*2,10))))</f>
        <v>N/T</v>
      </c>
      <c r="H29" s="215" t="str" cm="1">
        <f t="array" aca="1" ref="H29" ca="1">IF($B29="","",IF(ISBLANK(INDIRECT("R6.Voz!D"&amp;SUM(18,38*0,10))),"",INDIRECT("R6.Voz!D"&amp;SUM(18,38*0,10))))</f>
        <v>N/T</v>
      </c>
      <c r="I29" s="215" t="str" cm="1">
        <f t="array" aca="1" ref="I29" ca="1">IF($B29="","",IF(ISBLANK(INDIRECT("R6.Voz!D"&amp;SUM(18,38*1,10))),"",INDIRECT("R6.Voz!D"&amp;SUM(18,38*1,10))))</f>
        <v>N/T</v>
      </c>
      <c r="J29" s="215" t="str" cm="1">
        <f t="array" aca="1" ref="J29" ca="1">IF($B29="","",IF(ISBLANK(INDIRECT("R6.Voz!D"&amp;SUM(18,38*2,10))),"",INDIRECT("R6.Voz!D"&amp;SUM(18,38*2,10))))</f>
        <v>N/T</v>
      </c>
      <c r="K29" s="215" t="str" cm="1">
        <f t="array" aca="1" ref="K29" ca="1">IF($B29="","",IF(ISBLANK(INDIRECT("R6.Voz!D"&amp;SUM(18,38*3,10))),"",INDIRECT("R6.Voz!D"&amp;SUM(18,38*3,10))))</f>
        <v>N/T</v>
      </c>
      <c r="L29" s="215" t="str" cm="1">
        <f t="array" aca="1" ref="L29" ca="1">IF($B29="","",IF(ISBLANK(INDIRECT("R6.Voz!D"&amp;SUM(18,38*4,10))),"",INDIRECT("R6.Voz!D"&amp;SUM(18,38*4,10))))</f>
        <v>N/T</v>
      </c>
      <c r="M29" s="215" t="str" cm="1">
        <f t="array" aca="1" ref="M29" ca="1">IF($B29="","",IF(ISBLANK(INDIRECT("R6.Voz!D"&amp;SUM(18,38*5,10))),"",INDIRECT("R6.Voz!D"&amp;SUM(18,38*5,10))))</f>
        <v>N/T</v>
      </c>
      <c r="N29" s="215" t="str" cm="1">
        <f t="array" aca="1" ref="N29" ca="1">IF($B29="","",IF(ISBLANK(INDIRECT("R6.Voz!D"&amp;SUM(18,38*6,10))),"",INDIRECT("R6.Voz!D"&amp;SUM(18,38*6,10))))</f>
        <v>N/T</v>
      </c>
      <c r="O29" s="215" t="str" cm="1">
        <f t="array" aca="1" ref="O29" ca="1">IF($B29="","",IF(ISBLANK(INDIRECT("R6.Voz!D"&amp;SUM(18,38*7,10))),"",INDIRECT("R6.Voz!D"&amp;SUM(18,38*7,10))))</f>
        <v>N/T</v>
      </c>
      <c r="P29" s="215" t="str" cm="1">
        <f t="array" aca="1" ref="P29" ca="1">IF($B29="","",IF(ISBLANK(INDIRECT("R6.Voz!D"&amp;SUM(18,38*8,10))),"",INDIRECT("R6.Voz!D"&amp;SUM(18,38*8,10))))</f>
        <v>N/T</v>
      </c>
      <c r="Q29" s="215" t="str" cm="1">
        <f t="array" aca="1" ref="Q29" ca="1">IF($B29="","",IF(ISBLANK(INDIRECT("R6.Voz!D"&amp;SUM(18,38*9,10))),"",INDIRECT("R6.Voz!D"&amp;SUM(18,38*9,10))))</f>
        <v>N/T</v>
      </c>
      <c r="R29" s="215" t="str" cm="1">
        <f t="array" aca="1" ref="R29" ca="1">IF($B29="","",IF(ISBLANK(INDIRECT("R6.Voz!D"&amp;SUM(18,38*10,10))),"",INDIRECT("R6.Voz!D"&amp;SUM(18,38*10,10))))</f>
        <v>N/T</v>
      </c>
      <c r="S29" s="215" t="str" cm="1">
        <f t="array" aca="1" ref="S29" ca="1">IF($B29="","",IF(ISBLANK(INDIRECT("R6.Voz!D"&amp;SUM(18,38*11,10))),"",INDIRECT("R6.Voz!D"&amp;SUM(18,38*11,10))))</f>
        <v>N/T</v>
      </c>
      <c r="T29" s="215" t="str" cm="1">
        <f t="array" aca="1" ref="T29" ca="1">IF($B29="","",IF(ISBLANK(INDIRECT("R6.Voz!D"&amp;SUM(18,38*12,10))),"",INDIRECT("R6.Voz!D"&amp;SUM(18,38*12,10))))</f>
        <v>N/T</v>
      </c>
      <c r="U29" s="215" t="str" cm="1">
        <f t="array" aca="1" ref="U29" ca="1">IF($B29="","",IF(ISBLANK(INDIRECT("R6.Voz!D"&amp;SUM(18,38*13,10))),"",INDIRECT("R6.Voz!D"&amp;SUM(18,38*13,10))))</f>
        <v>N/T</v>
      </c>
      <c r="V29" s="215" t="str" cm="1">
        <f t="array" aca="1" ref="V29" ca="1">IF($B29="","",IF(ISBLANK(INDIRECT("R6.Voz!D"&amp;SUM(18,38*14,10))),"",INDIRECT("R6.Voz!D"&amp;SUM(18,38*14,10))))</f>
        <v>N/T</v>
      </c>
      <c r="W29" s="215" t="str" cm="1">
        <f t="array" aca="1" ref="W29" ca="1">IF($B29="","",IF(ISBLANK(INDIRECT("R6.Voz!D"&amp;SUM(18,38*15,10))),"",INDIRECT("R6.Voz!D"&amp;SUM(18,38*15,10))))</f>
        <v>N/T</v>
      </c>
      <c r="X29" s="215" t="str" cm="1">
        <f t="array" aca="1" ref="X29" ca="1">IF($B29="","",IF(ISBLANK(INDIRECT("R6.Voz!D"&amp;SUM(18,38*16,10))),"",INDIRECT("R6.Voz!D"&amp;SUM(18,38*16,10))))</f>
        <v>N/T</v>
      </c>
      <c r="Y29" s="215" t="str" cm="1">
        <f t="array" aca="1" ref="Y29" ca="1">IF($B29="","",IF(ISBLANK(INDIRECT("R6.Voz!D"&amp;SUM(18,38*17,10))),"",INDIRECT("R6.Voz!D"&amp;SUM(18,38*17,10))))</f>
        <v>N/T</v>
      </c>
      <c r="Z29" s="215" t="str" cm="1">
        <f t="array" aca="1" ref="Z29" ca="1">IF($B29="","",IF(ISBLANK(INDIRECT("R6.Voz!D"&amp;SUM(18,38*18,10))),"",INDIRECT("R6.Voz!D"&amp;SUM(18,38*18,10))))</f>
        <v>N/T</v>
      </c>
      <c r="AA29" s="215" t="str" cm="1">
        <f t="array" aca="1" ref="AA29" ca="1">IF($B29="","",IF(ISBLANK(INDIRECT("R7.Video!D"&amp;SUM(18,38*0,10))),"",INDIRECT("R7.Video!D"&amp;SUM(18,38*0,10))))</f>
        <v>N/T</v>
      </c>
      <c r="AB29" s="215" t="str" cm="1">
        <f t="array" aca="1" ref="AB29" ca="1">IF($B29="","",IF(ISBLANK(INDIRECT("R7.Video!D"&amp;SUM(18,38*1,10))),"",INDIRECT("R7.Video!D"&amp;SUM(18,38*1,10))))</f>
        <v>N/T</v>
      </c>
      <c r="AC29" s="215" t="str" cm="1">
        <f t="array" aca="1" ref="AC29" ca="1">IF($B29="","",IF(ISBLANK(INDIRECT("R7.Video!D"&amp;SUM(18,38*2,10))),"",INDIRECT("R7.Video!D"&amp;SUM(18,38*2,10))))</f>
        <v>N/T</v>
      </c>
      <c r="AD29" s="215" t="str" cm="1">
        <f t="array" aca="1" ref="AD29" ca="1">IF($B29="","",IF(ISBLANK(INDIRECT("R7.Video!D"&amp;SUM(18,38*3,10))),"",INDIRECT("R7.Video!D"&amp;SUM(18,38*3,10))))</f>
        <v>N/T</v>
      </c>
      <c r="AE29" s="215" t="str" cm="1">
        <f t="array" aca="1" ref="AE29" ca="1">IF($B29="","",IF(ISBLANK(INDIRECT("R7.Video!D"&amp;SUM(18,38*4,10))),"",INDIRECT("R7.Video!D"&amp;SUM(18,38*4,10))))</f>
        <v>N/T</v>
      </c>
      <c r="AF29" s="215" t="str" cm="1">
        <f t="array" aca="1" ref="AF29" ca="1">IF($B29="","",IF(ISBLANK(INDIRECT("R7.Video!D"&amp;SUM(18,38*5,10))),"",INDIRECT("R7.Video!D"&amp;SUM(18,38*5,10))))</f>
        <v>N/T</v>
      </c>
      <c r="AG29" s="215" t="str" cm="1">
        <f t="array" aca="1" ref="AG29" ca="1">IF($B29="","",IF(ISBLANK(INDIRECT("R7.Video!D"&amp;SUM(18,38*6,10))),"",INDIRECT("R7.Video!D"&amp;SUM(18,38*6,10))))</f>
        <v>N/T</v>
      </c>
      <c r="AH29" s="215" t="str" cm="1">
        <f t="array" aca="1" ref="AH29" ca="1">IF($B29="","",IF(ISBLANK(INDIRECT("R7.Video!D"&amp;SUM(18,38*7,10))),"",INDIRECT("R7.Video!D"&amp;SUM(18,38*7,10))))</f>
        <v>N/T</v>
      </c>
      <c r="AI29" s="215" t="str" cm="1">
        <f t="array" aca="1" ref="AI29" ca="1">IF($B29="","",IF(ISBLANK(INDIRECT("R7.Video!D"&amp;SUM(18,38*8,10))),"",INDIRECT("R7.Video!D"&amp;SUM(18,38*8,10))))</f>
        <v>N/T</v>
      </c>
      <c r="AJ29" s="215" t="str" cm="1">
        <f t="array" aca="1" ref="AJ29" ca="1">IF($B29="","",IF(ISBLANK(INDIRECT("R9.Web!D"&amp;SUM(18,38*0,10))),"",INDIRECT("R9.Web!D"&amp;SUM(18,38*0,10))))</f>
        <v>N/D</v>
      </c>
      <c r="AK29" s="215" t="str" cm="1">
        <f t="array" aca="1" ref="AK29" ca="1">IF($B29="","",IF(ISBLANK(INDIRECT("R9.Web!D"&amp;SUM(18,38*1,10))),"",INDIRECT("R9.Web!D"&amp;SUM(18,38*1,10))))</f>
        <v>N/T</v>
      </c>
      <c r="AL29" s="215" t="str" cm="1">
        <f t="array" aca="1" ref="AL29" ca="1">IF($B29="","",IF(ISBLANK(INDIRECT("R9.Web!D"&amp;SUM(18,38*2,10))),"",INDIRECT("R9.Web!D"&amp;SUM(18,38*2,10))))</f>
        <v>N/T</v>
      </c>
      <c r="AM29" s="215" t="str" cm="1">
        <f t="array" aca="1" ref="AM29" ca="1">IF($B29="","",IF(ISBLANK(INDIRECT("R9.Web!D"&amp;SUM(18,38*3,10))),"",INDIRECT("R9.Web!D"&amp;SUM(18,38*3,10))))</f>
        <v>N/T</v>
      </c>
      <c r="AN29" s="215" t="str" cm="1">
        <f t="array" aca="1" ref="AN29" ca="1">IF($B29="","",IF(ISBLANK(INDIRECT("R9.Web!D"&amp;SUM(18,38*4,10))),"",INDIRECT("R9.Web!D"&amp;SUM(18,38*4,10))))</f>
        <v>N/T</v>
      </c>
      <c r="AO29" s="215" t="str" cm="1">
        <f t="array" aca="1" ref="AO29" ca="1">IF($B29="","",IF(ISBLANK(INDIRECT("R9.Web!D"&amp;SUM(18,38*5,10))),"",INDIRECT("R9.Web!D"&amp;SUM(18,38*5,10))))</f>
        <v>N/D</v>
      </c>
      <c r="AP29" s="215" t="str" cm="1">
        <f t="array" aca="1" ref="AP29" ca="1">IF($B29="","",IF(ISBLANK(INDIRECT("R9.Web!D"&amp;SUM(18,38*6,10))),"",INDIRECT("R9.Web!D"&amp;SUM(18,38*6,10))))</f>
        <v>N/T</v>
      </c>
      <c r="AQ29" s="215" t="str" cm="1">
        <f t="array" aca="1" ref="AQ29" ca="1">IF($B29="","",IF(ISBLANK(INDIRECT("R9.Web!D"&amp;SUM(18,38*7,10))),"",INDIRECT("R9.Web!D"&amp;SUM(18,38*7,10))))</f>
        <v>N/T</v>
      </c>
      <c r="AR29" s="215" t="str" cm="1">
        <f t="array" aca="1" ref="AR29" ca="1">IF($B29="","",IF(ISBLANK(INDIRECT("R9.Web!D"&amp;SUM(18,38*8,10))),"",INDIRECT("R9.Web!D"&amp;SUM(18,38*8,10))))</f>
        <v>N/D</v>
      </c>
      <c r="AS29" s="215" t="str" cm="1">
        <f t="array" aca="1" ref="AS29" ca="1">IF($B29="","",IF(ISBLANK(INDIRECT("R9.Web!D"&amp;SUM(18,38*9,10))),"",INDIRECT("R9.Web!D"&amp;SUM(18,38*9,10))))</f>
        <v>N/D</v>
      </c>
      <c r="AT29" s="215" t="str" cm="1">
        <f t="array" aca="1" ref="AT29" ca="1">IF($B29="","",IF(ISBLANK(INDIRECT("R9.Web!D"&amp;SUM(18,38*10,10))),"",INDIRECT("R9.Web!D"&amp;SUM(18,38*10,10))))</f>
        <v>N/T</v>
      </c>
      <c r="AU29" s="215" t="str" cm="1">
        <f t="array" aca="1" ref="AU29" ca="1">IF($B29="","",IF(ISBLANK(INDIRECT("R9.Web!D"&amp;SUM(18,38*11,10))),"",INDIRECT("R9.Web!D"&amp;SUM(18,38*11,10))))</f>
        <v>N/T</v>
      </c>
      <c r="AV29" s="215" t="str" cm="1">
        <f t="array" aca="1" ref="AV29" ca="1">IF($B29="","",IF(ISBLANK(INDIRECT("R9.Web!D"&amp;SUM(18,38*12,10))),"",INDIRECT("R9.Web!D"&amp;SUM(18,38*12,10))))</f>
        <v>Falla</v>
      </c>
      <c r="AW29" s="215" t="str" cm="1">
        <f t="array" aca="1" ref="AW29" ca="1">IF($B29="","",IF(ISBLANK(INDIRECT("R9.Web!D"&amp;SUM(18,38*13,10))),"",INDIRECT("R9.Web!D"&amp;SUM(18,38*13,10))))</f>
        <v>N/T</v>
      </c>
      <c r="AX29" s="215" t="str" cm="1">
        <f t="array" aca="1" ref="AX29" ca="1">IF($B29="","",IF(ISBLANK(INDIRECT("R9.Web!D"&amp;SUM(18,38*14,10))),"",INDIRECT("R9.Web!D"&amp;SUM(18,38*14,10))))</f>
        <v>N/T</v>
      </c>
      <c r="AY29" s="215" t="str" cm="1">
        <f t="array" aca="1" ref="AY29" ca="1">IF($B29="","",IF(ISBLANK(INDIRECT("R9.Web!D"&amp;SUM(18,38*15,10))),"",INDIRECT("R9.Web!D"&amp;SUM(18,38*15,10))))</f>
        <v>N/D</v>
      </c>
      <c r="AZ29" s="215" t="str" cm="1">
        <f t="array" aca="1" ref="AZ29" ca="1">IF($B29="","",IF(ISBLANK(INDIRECT("R9.Web!D"&amp;SUM(18,38*16,10))),"",INDIRECT("R9.Web!D"&amp;SUM(18,38*16,10))))</f>
        <v>N/T</v>
      </c>
      <c r="BA29" s="215" t="str" cm="1">
        <f t="array" aca="1" ref="BA29" ca="1">IF($B29="","",IF(ISBLANK(INDIRECT("R9.Web!D"&amp;SUM(18,38*17,10))),"",INDIRECT("R9.Web!D"&amp;SUM(18,38*17,10))))</f>
        <v>N/D</v>
      </c>
      <c r="BB29" s="215" t="str" cm="1">
        <f t="array" aca="1" ref="BB29" ca="1">IF($B29="","",IF(ISBLANK(INDIRECT("R9.Web!D"&amp;SUM(18,38*18,10))),"",INDIRECT("R9.Web!D"&amp;SUM(18,38*18,10))))</f>
        <v>N/T</v>
      </c>
      <c r="BC29" s="215" t="str" cm="1">
        <f t="array" aca="1" ref="BC29" ca="1">IF($B29="","",IF(ISBLANK(INDIRECT("R9.Web!D"&amp;SUM(18,38*19,10))),"",INDIRECT("R9.Web!D"&amp;SUM(18,38*19,10))))</f>
        <v>N/D</v>
      </c>
      <c r="BD29" s="215" t="str" cm="1">
        <f t="array" aca="1" ref="BD29" ca="1">IF($B29="","",IF(ISBLANK(INDIRECT("R9.Web!D"&amp;SUM(18,38*20,10))),"",INDIRECT("R9.Web!D"&amp;SUM(18,38*20,10))))</f>
        <v>N/T</v>
      </c>
      <c r="BE29" s="215" t="str" cm="1">
        <f t="array" aca="1" ref="BE29" ca="1">IF($B29="","",IF(ISBLANK(INDIRECT("R9.Web!D"&amp;SUM(18,38*21,10))),"",INDIRECT("R9.Web!D"&amp;SUM(18,38*21,10))))</f>
        <v>N/T</v>
      </c>
      <c r="BF29" s="215" t="str" cm="1">
        <f t="array" aca="1" ref="BF29" ca="1">IF($B29="","",IF(ISBLANK(INDIRECT("R9.Web!D"&amp;SUM(18,38*22,10))),"",INDIRECT("R9.Web!D"&amp;SUM(18,38*22,10))))</f>
        <v>N/D</v>
      </c>
      <c r="BG29" s="215" t="str" cm="1">
        <f t="array" aca="1" ref="BG29" ca="1">IF($B29="","",IF(ISBLANK(INDIRECT("R9.Web!D"&amp;SUM(18,38*23,10))),"",INDIRECT("R9.Web!D"&amp;SUM(18,38*23,10))))</f>
        <v>N/D</v>
      </c>
      <c r="BH29" s="215" t="str" cm="1">
        <f t="array" aca="1" ref="BH29" ca="1">IF($B29="","",IF(ISBLANK(INDIRECT("R9.Web!D"&amp;SUM(18,38*24,10))),"",INDIRECT("R9.Web!D"&amp;SUM(18,38*24,10))))</f>
        <v>N/T</v>
      </c>
      <c r="BI29" s="215" t="str" cm="1">
        <f t="array" aca="1" ref="BI29" ca="1">IF($B29="","",IF(ISBLANK(INDIRECT("R9.Web!D"&amp;SUM(18,38*25,10))),"",INDIRECT("R9.Web!D"&amp;SUM(18,38*25,10))))</f>
        <v>N/D</v>
      </c>
      <c r="BJ29" s="215" t="str" cm="1">
        <f t="array" aca="1" ref="BJ29" ca="1">IF($B29="","",IF(ISBLANK(INDIRECT("R9.Web!D"&amp;SUM(18,38*26,10))),"",INDIRECT("R9.Web!D"&amp;SUM(18,38*26,10))))</f>
        <v>N/D</v>
      </c>
      <c r="BK29" s="215" t="str" cm="1">
        <f t="array" aca="1" ref="BK29" ca="1">IF($B29="","",IF(ISBLANK(INDIRECT("R9.Web!D"&amp;SUM(18,38*27,10))),"",INDIRECT("R9.Web!D"&amp;SUM(18,38*27,10))))</f>
        <v>N/D</v>
      </c>
      <c r="BL29" s="215" t="str" cm="1">
        <f t="array" aca="1" ref="BL29" ca="1">IF($B29="","",IF(ISBLANK(INDIRECT("R9.Web!D"&amp;SUM(18,38*28,10))),"",INDIRECT("R9.Web!D"&amp;SUM(18,38*28,10))))</f>
        <v>N/D</v>
      </c>
      <c r="BM29" s="215" t="str" cm="1">
        <f t="array" aca="1" ref="BM29" ca="1">IF($B29="","",IF(ISBLANK(INDIRECT("R9.Web!D"&amp;SUM(18,38*29,10))),"",INDIRECT("R9.Web!D"&amp;SUM(18,38*29,10))))</f>
        <v>N/D</v>
      </c>
      <c r="BN29" s="215" t="str" cm="1">
        <f t="array" aca="1" ref="BN29" ca="1">IF($B29="","",IF(ISBLANK(INDIRECT("R9.Web!D"&amp;SUM(18,38*30,10))),"",INDIRECT("R9.Web!D"&amp;SUM(18,38*30,10))))</f>
        <v>N/T</v>
      </c>
      <c r="BO29" s="215" t="str" cm="1">
        <f t="array" aca="1" ref="BO29" ca="1">IF($B29="","",IF(ISBLANK(INDIRECT("R9.Web!D"&amp;SUM(18,38*31,10))),"",INDIRECT("R9.Web!D"&amp;SUM(18,38*31,10))))</f>
        <v>N/D</v>
      </c>
      <c r="BP29" s="215" t="str" cm="1">
        <f t="array" aca="1" ref="BP29" ca="1">IF($B29="","",IF(ISBLANK(INDIRECT("R9.Web!D"&amp;SUM(18,38*32,10))),"",INDIRECT("R9.Web!D"&amp;SUM(18,38*32,10))))</f>
        <v>N/T</v>
      </c>
      <c r="BQ29" s="215" t="str" cm="1">
        <f t="array" aca="1" ref="BQ29" ca="1">IF($B29="","",IF(ISBLANK(INDIRECT("R9.Web!D"&amp;SUM(18,38*33,10))),"",INDIRECT("R9.Web!D"&amp;SUM(18,38*33,10))))</f>
        <v>N/T</v>
      </c>
      <c r="BR29" s="215" t="str" cm="1">
        <f t="array" aca="1" ref="BR29" ca="1">IF($B29="","",IF(ISBLANK(INDIRECT("R9.Web!D"&amp;SUM(18,38*34,10))),"",INDIRECT("R9.Web!D"&amp;SUM(18,38*34,10))))</f>
        <v>N/D</v>
      </c>
      <c r="BS29" s="215" t="str" cm="1">
        <f t="array" aca="1" ref="BS29" ca="1">IF($B29="","",IF(ISBLANK(INDIRECT("R9.Web!D"&amp;SUM(18,38*35,10))),"",INDIRECT("R9.Web!D"&amp;SUM(18,38*35,10))))</f>
        <v>N/T</v>
      </c>
      <c r="BT29" s="215" t="str" cm="1">
        <f t="array" aca="1" ref="BT29" ca="1">IF($B29="","",IF(ISBLANK(INDIRECT("R9.Web!D"&amp;SUM(18,38*36,10))),"",INDIRECT("R9.Web!D"&amp;SUM(18,38*36,10))))</f>
        <v>N/D</v>
      </c>
      <c r="BU29" s="215" t="str" cm="1">
        <f t="array" aca="1" ref="BU29" ca="1">IF($B29="","",IF(ISBLANK(INDIRECT("R9.Web!D"&amp;SUM(18,38*37,10))),"",INDIRECT("R9.Web!D"&amp;SUM(18,38*37,10))))</f>
        <v>Falla</v>
      </c>
      <c r="BV29" s="215" t="str" cm="1">
        <f t="array" aca="1" ref="BV29" ca="1">IF($B29="","",IF(ISBLANK(INDIRECT("R9.Web!D"&amp;SUM(18,38*38,10))),"",INDIRECT("R9.Web!D"&amp;SUM(18,38*38,10))))</f>
        <v>N/D</v>
      </c>
      <c r="BW29" s="215" t="str" cm="1">
        <f t="array" aca="1" ref="BW29" ca="1">IF($B29="","",IF(ISBLANK(INDIRECT("R9.Web!D"&amp;SUM(18,38*39,10))),"",INDIRECT("R9.Web!D"&amp;SUM(18,38*39,10))))</f>
        <v>N/D</v>
      </c>
      <c r="BX29" s="215" t="str" cm="1">
        <f t="array" aca="1" ref="BX29" ca="1">IF($B29="","",IF(ISBLANK(INDIRECT("R9.Web!D"&amp;SUM(18,38*40,10))),"",INDIRECT("R9.Web!D"&amp;SUM(18,38*40,10))))</f>
        <v>N/D</v>
      </c>
      <c r="BY29" s="215" t="str" cm="1">
        <f t="array" aca="1" ref="BY29" ca="1">IF($B29="","",IF(ISBLANK(INDIRECT("R9.Web!D"&amp;SUM(18,38*41,10))),"",INDIRECT("R9.Web!D"&amp;SUM(18,38*41,10))))</f>
        <v>N/T</v>
      </c>
      <c r="BZ29" s="215" t="str" cm="1">
        <f t="array" aca="1" ref="BZ29" ca="1">IF($B29="","",IF(ISBLANK(INDIRECT("R9.Web!D"&amp;SUM(18,38*42,10))),"",INDIRECT("R9.Web!D"&amp;SUM(18,38*42,10))))</f>
        <v>N/T</v>
      </c>
      <c r="CA29" s="215" t="str" cm="1">
        <f t="array" aca="1" ref="CA29" ca="1">IF($B29="","",IF(ISBLANK(INDIRECT("R9.Web!D"&amp;SUM(18,38*43,10))),"",INDIRECT("R9.Web!D"&amp;SUM(18,38*43,10))))</f>
        <v>N/D</v>
      </c>
      <c r="CB29" s="215" t="str" cm="1">
        <f t="array" aca="1" ref="CB29" ca="1">IF($B29="","",IF(ISBLANK(INDIRECT("R9.Web!D"&amp;SUM(18,38*44,10))),"",INDIRECT("R9.Web!D"&amp;SUM(18,38*44,10))))</f>
        <v>N/T</v>
      </c>
      <c r="CC29" s="215" t="str" cm="1">
        <f t="array" aca="1" ref="CC29" ca="1">IF($B29="","",IF(ISBLANK(INDIRECT("R9.Web!D"&amp;SUM(18,38*45,10))),"",INDIRECT("R9.Web!D"&amp;SUM(18,38*45,10))))</f>
        <v>N/T</v>
      </c>
      <c r="CD29" s="215" t="str" cm="1">
        <f t="array" aca="1" ref="CD29" ca="1">IF($B29="","",IF(ISBLANK(INDIRECT("R9.Web!D"&amp;SUM(18,38*46,10))),"",INDIRECT("R9.Web!D"&amp;SUM(18,38*46,10))))</f>
        <v>N/T</v>
      </c>
      <c r="CE29" s="215" t="str" cm="1">
        <f t="array" aca="1" ref="CE29" ca="1">IF($B29="","",IF(ISBLANK(INDIRECT("R9.Web!D"&amp;SUM(18,38*47,10))),"",INDIRECT("R9.Web!D"&amp;SUM(18,38*47,10))))</f>
        <v>N/D</v>
      </c>
      <c r="CF29" s="215" t="str" cm="1">
        <f t="array" aca="1" ref="CF29" ca="1">IF($B29="","",IF(ISBLANK(INDIRECT("R9.Web!D"&amp;SUM(18,38*48,10))),"",INDIRECT("R9.Web!D"&amp;SUM(18,38*48,10))))</f>
        <v>N/T</v>
      </c>
      <c r="CG29" s="215" t="str" cm="1">
        <f t="array" aca="1" ref="CG29" ca="1">IF($B29="","",IF(ISBLANK(INDIRECT("R9.Web!D"&amp;SUM(18,38*49,10))),"",INDIRECT("R9.Web!D"&amp;SUM(18,38*49,10))))</f>
        <v>N/T</v>
      </c>
      <c r="CH29" s="215" t="str" cm="1">
        <f t="array" aca="1" ref="CH29" ca="1">IF($B29="","",IF(ISBLANK(INDIRECT("R11.Software!D"&amp;SUM(18,38*0,10))),"",INDIRECT("R11.Software!D"&amp;SUM(18,38*0,10))))</f>
        <v>N/T</v>
      </c>
      <c r="CI29" s="215" t="str" cm="1">
        <f t="array" aca="1" ref="CI29" ca="1">IF($B29="","",IF(ISBLANK(INDIRECT("R11.Software!D"&amp;SUM(18,38*1,10))),"",INDIRECT("R11.Software!D"&amp;SUM(18,38*1,10))))</f>
        <v>N/T</v>
      </c>
      <c r="CJ29" s="215" t="str" cm="1">
        <f t="array" aca="1" ref="CJ29" ca="1">IF($B29="","",IF(ISBLANK(INDIRECT("R11.Software!D"&amp;SUM(18,38*2,10))),"",INDIRECT("R11.Software!D"&amp;SUM(18,38*2,10))))</f>
        <v>N/T</v>
      </c>
      <c r="CK29" s="215" t="str" cm="1">
        <f t="array" aca="1" ref="CK29" ca="1">IF($B29="","",IF(ISBLANK(INDIRECT("R11.Software!D"&amp;SUM(18,38*3,10))),"",INDIRECT("R11.Software!D"&amp;SUM(18,38*3,10))))</f>
        <v>N/T</v>
      </c>
      <c r="CL29" s="215" t="str" cm="1">
        <f t="array" aca="1" ref="CL29" ca="1">IF($B29="","",IF(ISBLANK(INDIRECT("R11.Software!D"&amp;SUM(18,38*4,10))),"",INDIRECT("R11.Software!D"&amp;SUM(18,38*4,10))))</f>
        <v>N/T</v>
      </c>
      <c r="CM29" s="215" t="str" cm="1">
        <f t="array" aca="1" ref="CM29" ca="1">IF($B29="","",IF(ISBLANK(INDIRECT("R11.Software!D"&amp;SUM(18,38*5,10))),"",INDIRECT("R11.Software!D"&amp;SUM(18,38*5,10))))</f>
        <v>N/T</v>
      </c>
      <c r="CN29" s="215" t="str" cm="1">
        <f t="array" aca="1" ref="CN29" ca="1">IF($B29="","",IF(ISBLANK(INDIRECT("R12.ServiciosApoyo!D"&amp;SUM(18,38*0,10))),"",INDIRECT("R12.ServiciosApoyo!D"&amp;SUM(18,38*0,10))))</f>
        <v>N/T</v>
      </c>
      <c r="CO29" s="215" t="str" cm="1">
        <f t="array" aca="1" ref="CO29" ca="1">IF($B29="","",IF(ISBLANK(INDIRECT("R12.ServiciosApoyo!D"&amp;SUM(18,38*1,10))),"",INDIRECT("R12.ServiciosApoyo!D"&amp;SUM(18,38*1,10))))</f>
        <v>N/T</v>
      </c>
      <c r="CP29" s="215" t="str" cm="1">
        <f t="array" aca="1" ref="CP29" ca="1">IF($B29="","",IF(ISBLANK(INDIRECT("R12.ServiciosApoyo!D"&amp;SUM(18,38*2,10))),"",INDIRECT("R12.ServiciosApoyo!D"&amp;SUM(18,38*2,10))))</f>
        <v>N/T</v>
      </c>
      <c r="CQ29" s="215" t="str" cm="1">
        <f t="array" aca="1" ref="CQ29" ca="1">IF($B29="","",IF(ISBLANK(INDIRECT("R12.ServiciosApoyo!D"&amp;SUM(18,38*3,10))),"",INDIRECT("R12.ServiciosApoyo!D"&amp;SUM(18,38*3,10))))</f>
        <v>N/T</v>
      </c>
      <c r="CR29" s="215" t="str" cm="1">
        <f t="array" aca="1" ref="CR29" ca="1">IF($B29="","",IF(ISBLANK(INDIRECT("R12.ServiciosApoyo!D"&amp;SUM(18,38*4,10))),"",INDIRECT("R12.ServiciosApoyo!D"&amp;SUM(18,38*4,10))))</f>
        <v>N/T</v>
      </c>
      <c r="CU29" s="100"/>
      <c r="CV29" s="29"/>
      <c r="CW29" s="29"/>
      <c r="CX29" s="29"/>
    </row>
    <row r="30" spans="2:102" ht="20.25">
      <c r="B30" s="181" t="n" cm="1">
        <f t="array" ref="B30">IFERROR(INDEX('03.Muestra'!$B$8:$B$42,SMALL(IF("Página Web"='03.Muestra'!$D$8:$D$42,ROW('03.Muestra'!$B$8:$B$42)-MIN(ROW('03.Muestra'!$D$8:$D$42))+1,""),ROW()-19)),"")</f>
        <v>1.0</v>
      </c>
      <c r="C30" s="97" t="str" cm="1">
        <f t="array" ref="C30">IFERROR(INDEX('03.Muestra'!$C$8:$C$42,SMALL(IF("Página Web"='03.Muestra'!$D$8:$D$42,ROW('03.Muestra'!$C$8:$C$42)-MIN(ROW('03.Muestra'!$D$8:$D$42))+1,""),ROW()-19)),"")</f>
        <v>Home - PortCastelló</v>
      </c>
      <c r="D30" s="98" t="str" cm="1">
        <f t="array" ref="D30">IFERROR(INDEX('03.Muestra'!$F$8:$F$42,SMALL(IF("Página Web"='03.Muestra'!$D$8:$D$42,ROW('03.Muestra'!$F$8:$F$42)-MIN(ROW('03.Muestra'!$D$8:$D$42))+1,""),ROW()-19)),"")</f>
        <v>https://www.portcastello.com/</v>
      </c>
      <c r="E30" s="215" t="str" cm="1">
        <f t="array" aca="1" ref="E30" ca="1">IF($B30="","",IF(ISBLANK(INDIRECT("R5.Genéricos!D"&amp;SUM(18,38*0,11))),"",INDIRECT("R5.Genéricos!D"&amp;SUM(18,38*0,11))))</f>
        <v>N/T</v>
      </c>
      <c r="F30" s="215" t="str" cm="1">
        <f t="array" aca="1" ref="F30" ca="1">IF($B30="","",IF(ISBLANK(INDIRECT("R5.Genéricos!D"&amp;SUM(18,38*1,11))),"",INDIRECT("R5.Genéricos!D"&amp;SUM(18,38*1,11))))</f>
        <v>N/T</v>
      </c>
      <c r="G30" s="215" t="str" cm="1">
        <f t="array" aca="1" ref="G30" ca="1">IF($B30="","",IF(ISBLANK(INDIRECT("R5.Genéricos!D"&amp;SUM(18,38*2,11))),"",INDIRECT("R5.Genéricos!D"&amp;SUM(18,38*2,11))))</f>
        <v>N/T</v>
      </c>
      <c r="H30" s="215" t="str" cm="1">
        <f t="array" aca="1" ref="H30" ca="1">IF($B30="","",IF(ISBLANK(INDIRECT("R6.Voz!D"&amp;SUM(18,38*0,11))),"",INDIRECT("R6.Voz!D"&amp;SUM(18,38*0,11))))</f>
        <v>N/T</v>
      </c>
      <c r="I30" s="215" t="str" cm="1">
        <f t="array" aca="1" ref="I30" ca="1">IF($B30="","",IF(ISBLANK(INDIRECT("R6.Voz!D"&amp;SUM(18,38*1,11))),"",INDIRECT("R6.Voz!D"&amp;SUM(18,38*1,11))))</f>
        <v>N/T</v>
      </c>
      <c r="J30" s="215" t="str" cm="1">
        <f t="array" aca="1" ref="J30" ca="1">IF($B30="","",IF(ISBLANK(INDIRECT("R6.Voz!D"&amp;SUM(18,38*2,11))),"",INDIRECT("R6.Voz!D"&amp;SUM(18,38*2,11))))</f>
        <v>N/T</v>
      </c>
      <c r="K30" s="215" t="str" cm="1">
        <f t="array" aca="1" ref="K30" ca="1">IF($B30="","",IF(ISBLANK(INDIRECT("R6.Voz!D"&amp;SUM(18,38*3,11))),"",INDIRECT("R6.Voz!D"&amp;SUM(18,38*3,11))))</f>
        <v>N/T</v>
      </c>
      <c r="L30" s="215" t="str" cm="1">
        <f t="array" aca="1" ref="L30" ca="1">IF($B30="","",IF(ISBLANK(INDIRECT("R6.Voz!D"&amp;SUM(18,38*4,11))),"",INDIRECT("R6.Voz!D"&amp;SUM(18,38*4,11))))</f>
        <v>N/T</v>
      </c>
      <c r="M30" s="215" t="str" cm="1">
        <f t="array" aca="1" ref="M30" ca="1">IF($B30="","",IF(ISBLANK(INDIRECT("R6.Voz!D"&amp;SUM(18,38*5,11))),"",INDIRECT("R6.Voz!D"&amp;SUM(18,38*5,11))))</f>
        <v>N/T</v>
      </c>
      <c r="N30" s="215" t="str" cm="1">
        <f t="array" aca="1" ref="N30" ca="1">IF($B30="","",IF(ISBLANK(INDIRECT("R6.Voz!D"&amp;SUM(18,38*6,11))),"",INDIRECT("R6.Voz!D"&amp;SUM(18,38*6,11))))</f>
        <v>N/T</v>
      </c>
      <c r="O30" s="215" t="str" cm="1">
        <f t="array" aca="1" ref="O30" ca="1">IF($B30="","",IF(ISBLANK(INDIRECT("R6.Voz!D"&amp;SUM(18,38*7,11))),"",INDIRECT("R6.Voz!D"&amp;SUM(18,38*7,11))))</f>
        <v>N/T</v>
      </c>
      <c r="P30" s="215" t="str" cm="1">
        <f t="array" aca="1" ref="P30" ca="1">IF($B30="","",IF(ISBLANK(INDIRECT("R6.Voz!D"&amp;SUM(18,38*8,11))),"",INDIRECT("R6.Voz!D"&amp;SUM(18,38*8,11))))</f>
        <v>N/T</v>
      </c>
      <c r="Q30" s="215" t="str" cm="1">
        <f t="array" aca="1" ref="Q30" ca="1">IF($B30="","",IF(ISBLANK(INDIRECT("R6.Voz!D"&amp;SUM(18,38*9,11))),"",INDIRECT("R6.Voz!D"&amp;SUM(18,38*9,11))))</f>
        <v>N/T</v>
      </c>
      <c r="R30" s="215" t="str" cm="1">
        <f t="array" aca="1" ref="R30" ca="1">IF($B30="","",IF(ISBLANK(INDIRECT("R6.Voz!D"&amp;SUM(18,38*10,11))),"",INDIRECT("R6.Voz!D"&amp;SUM(18,38*10,11))))</f>
        <v>N/T</v>
      </c>
      <c r="S30" s="215" t="str" cm="1">
        <f t="array" aca="1" ref="S30" ca="1">IF($B30="","",IF(ISBLANK(INDIRECT("R6.Voz!D"&amp;SUM(18,38*11,11))),"",INDIRECT("R6.Voz!D"&amp;SUM(18,38*11,11))))</f>
        <v>N/T</v>
      </c>
      <c r="T30" s="215" t="str" cm="1">
        <f t="array" aca="1" ref="T30" ca="1">IF($B30="","",IF(ISBLANK(INDIRECT("R6.Voz!D"&amp;SUM(18,38*12,11))),"",INDIRECT("R6.Voz!D"&amp;SUM(18,38*12,11))))</f>
        <v>N/T</v>
      </c>
      <c r="U30" s="215" t="str" cm="1">
        <f t="array" aca="1" ref="U30" ca="1">IF($B30="","",IF(ISBLANK(INDIRECT("R6.Voz!D"&amp;SUM(18,38*13,11))),"",INDIRECT("R6.Voz!D"&amp;SUM(18,38*13,11))))</f>
        <v>N/T</v>
      </c>
      <c r="V30" s="215" t="str" cm="1">
        <f t="array" aca="1" ref="V30" ca="1">IF($B30="","",IF(ISBLANK(INDIRECT("R6.Voz!D"&amp;SUM(18,38*14,11))),"",INDIRECT("R6.Voz!D"&amp;SUM(18,38*14,11))))</f>
        <v>N/T</v>
      </c>
      <c r="W30" s="215" t="str" cm="1">
        <f t="array" aca="1" ref="W30" ca="1">IF($B30="","",IF(ISBLANK(INDIRECT("R6.Voz!D"&amp;SUM(18,38*15,11))),"",INDIRECT("R6.Voz!D"&amp;SUM(18,38*15,11))))</f>
        <v>N/T</v>
      </c>
      <c r="X30" s="215" t="str" cm="1">
        <f t="array" aca="1" ref="X30" ca="1">IF($B30="","",IF(ISBLANK(INDIRECT("R6.Voz!D"&amp;SUM(18,38*16,11))),"",INDIRECT("R6.Voz!D"&amp;SUM(18,38*16,11))))</f>
        <v>N/T</v>
      </c>
      <c r="Y30" s="215" t="str" cm="1">
        <f t="array" aca="1" ref="Y30" ca="1">IF($B30="","",IF(ISBLANK(INDIRECT("R6.Voz!D"&amp;SUM(18,38*17,11))),"",INDIRECT("R6.Voz!D"&amp;SUM(18,38*17,11))))</f>
        <v>N/T</v>
      </c>
      <c r="Z30" s="215" t="str" cm="1">
        <f t="array" aca="1" ref="Z30" ca="1">IF($B30="","",IF(ISBLANK(INDIRECT("R6.Voz!D"&amp;SUM(18,38*18,11))),"",INDIRECT("R6.Voz!D"&amp;SUM(18,38*18,11))))</f>
        <v>N/T</v>
      </c>
      <c r="AA30" s="215" t="str" cm="1">
        <f t="array" aca="1" ref="AA30" ca="1">IF($B30="","",IF(ISBLANK(INDIRECT("R7.Video!D"&amp;SUM(18,38*0,11))),"",INDIRECT("R7.Video!D"&amp;SUM(18,38*0,11))))</f>
        <v>N/T</v>
      </c>
      <c r="AB30" s="215" t="str" cm="1">
        <f t="array" aca="1" ref="AB30" ca="1">IF($B30="","",IF(ISBLANK(INDIRECT("R7.Video!D"&amp;SUM(18,38*1,11))),"",INDIRECT("R7.Video!D"&amp;SUM(18,38*1,11))))</f>
        <v>N/T</v>
      </c>
      <c r="AC30" s="215" t="str" cm="1">
        <f t="array" aca="1" ref="AC30" ca="1">IF($B30="","",IF(ISBLANK(INDIRECT("R7.Video!D"&amp;SUM(18,38*2,11))),"",INDIRECT("R7.Video!D"&amp;SUM(18,38*2,11))))</f>
        <v>N/T</v>
      </c>
      <c r="AD30" s="215" t="str" cm="1">
        <f t="array" aca="1" ref="AD30" ca="1">IF($B30="","",IF(ISBLANK(INDIRECT("R7.Video!D"&amp;SUM(18,38*3,11))),"",INDIRECT("R7.Video!D"&amp;SUM(18,38*3,11))))</f>
        <v>N/T</v>
      </c>
      <c r="AE30" s="215" t="str" cm="1">
        <f t="array" aca="1" ref="AE30" ca="1">IF($B30="","",IF(ISBLANK(INDIRECT("R7.Video!D"&amp;SUM(18,38*4,11))),"",INDIRECT("R7.Video!D"&amp;SUM(18,38*4,11))))</f>
        <v>N/T</v>
      </c>
      <c r="AF30" s="215" t="str" cm="1">
        <f t="array" aca="1" ref="AF30" ca="1">IF($B30="","",IF(ISBLANK(INDIRECT("R7.Video!D"&amp;SUM(18,38*5,11))),"",INDIRECT("R7.Video!D"&amp;SUM(18,38*5,11))))</f>
        <v>N/T</v>
      </c>
      <c r="AG30" s="215" t="str" cm="1">
        <f t="array" aca="1" ref="AG30" ca="1">IF($B30="","",IF(ISBLANK(INDIRECT("R7.Video!D"&amp;SUM(18,38*6,11))),"",INDIRECT("R7.Video!D"&amp;SUM(18,38*6,11))))</f>
        <v>N/T</v>
      </c>
      <c r="AH30" s="215" t="str" cm="1">
        <f t="array" aca="1" ref="AH30" ca="1">IF($B30="","",IF(ISBLANK(INDIRECT("R7.Video!D"&amp;SUM(18,38*7,11))),"",INDIRECT("R7.Video!D"&amp;SUM(18,38*7,11))))</f>
        <v>N/T</v>
      </c>
      <c r="AI30" s="215" t="str" cm="1">
        <f t="array" aca="1" ref="AI30" ca="1">IF($B30="","",IF(ISBLANK(INDIRECT("R7.Video!D"&amp;SUM(18,38*8,11))),"",INDIRECT("R7.Video!D"&amp;SUM(18,38*8,11))))</f>
        <v>N/T</v>
      </c>
      <c r="AJ30" s="215" t="str" cm="1">
        <f t="array" aca="1" ref="AJ30" ca="1">IF($B30="","",IF(ISBLANK(INDIRECT("R9.Web!D"&amp;SUM(18,38*0,11))),"",INDIRECT("R9.Web!D"&amp;SUM(18,38*0,11))))</f>
        <v>N/D</v>
      </c>
      <c r="AK30" s="215" t="str" cm="1">
        <f t="array" aca="1" ref="AK30" ca="1">IF($B30="","",IF(ISBLANK(INDIRECT("R9.Web!D"&amp;SUM(18,38*1,11))),"",INDIRECT("R9.Web!D"&amp;SUM(18,38*1,11))))</f>
        <v>N/T</v>
      </c>
      <c r="AL30" s="215" t="str" cm="1">
        <f t="array" aca="1" ref="AL30" ca="1">IF($B30="","",IF(ISBLANK(INDIRECT("R9.Web!D"&amp;SUM(18,38*2,11))),"",INDIRECT("R9.Web!D"&amp;SUM(18,38*2,11))))</f>
        <v>N/T</v>
      </c>
      <c r="AM30" s="215" t="str" cm="1">
        <f t="array" aca="1" ref="AM30" ca="1">IF($B30="","",IF(ISBLANK(INDIRECT("R9.Web!D"&amp;SUM(18,38*3,11))),"",INDIRECT("R9.Web!D"&amp;SUM(18,38*3,11))))</f>
        <v>N/T</v>
      </c>
      <c r="AN30" s="215" t="str" cm="1">
        <f t="array" aca="1" ref="AN30" ca="1">IF($B30="","",IF(ISBLANK(INDIRECT("R9.Web!D"&amp;SUM(18,38*4,11))),"",INDIRECT("R9.Web!D"&amp;SUM(18,38*4,11))))</f>
        <v>N/T</v>
      </c>
      <c r="AO30" s="215" t="str" cm="1">
        <f t="array" aca="1" ref="AO30" ca="1">IF($B30="","",IF(ISBLANK(INDIRECT("R9.Web!D"&amp;SUM(18,38*5,11))),"",INDIRECT("R9.Web!D"&amp;SUM(18,38*5,11))))</f>
        <v>N/D</v>
      </c>
      <c r="AP30" s="215" t="str" cm="1">
        <f t="array" aca="1" ref="AP30" ca="1">IF($B30="","",IF(ISBLANK(INDIRECT("R9.Web!D"&amp;SUM(18,38*6,11))),"",INDIRECT("R9.Web!D"&amp;SUM(18,38*6,11))))</f>
        <v>N/T</v>
      </c>
      <c r="AQ30" s="215" t="str" cm="1">
        <f t="array" aca="1" ref="AQ30" ca="1">IF($B30="","",IF(ISBLANK(INDIRECT("R9.Web!D"&amp;SUM(18,38*7,11))),"",INDIRECT("R9.Web!D"&amp;SUM(18,38*7,11))))</f>
        <v>N/T</v>
      </c>
      <c r="AR30" s="215" t="str" cm="1">
        <f t="array" aca="1" ref="AR30" ca="1">IF($B30="","",IF(ISBLANK(INDIRECT("R9.Web!D"&amp;SUM(18,38*8,11))),"",INDIRECT("R9.Web!D"&amp;SUM(18,38*8,11))))</f>
        <v>N/D</v>
      </c>
      <c r="AS30" s="215" t="str" cm="1">
        <f t="array" aca="1" ref="AS30" ca="1">IF($B30="","",IF(ISBLANK(INDIRECT("R9.Web!D"&amp;SUM(18,38*9,11))),"",INDIRECT("R9.Web!D"&amp;SUM(18,38*9,11))))</f>
        <v>N/D</v>
      </c>
      <c r="AT30" s="215" t="str" cm="1">
        <f t="array" aca="1" ref="AT30" ca="1">IF($B30="","",IF(ISBLANK(INDIRECT("R9.Web!D"&amp;SUM(18,38*10,11))),"",INDIRECT("R9.Web!D"&amp;SUM(18,38*10,11))))</f>
        <v>N/T</v>
      </c>
      <c r="AU30" s="215" t="str" cm="1">
        <f t="array" aca="1" ref="AU30" ca="1">IF($B30="","",IF(ISBLANK(INDIRECT("R9.Web!D"&amp;SUM(18,38*11,11))),"",INDIRECT("R9.Web!D"&amp;SUM(18,38*11,11))))</f>
        <v>N/T</v>
      </c>
      <c r="AV30" s="215" t="str" cm="1">
        <f t="array" aca="1" ref="AV30" ca="1">IF($B30="","",IF(ISBLANK(INDIRECT("R9.Web!D"&amp;SUM(18,38*12,11))),"",INDIRECT("R9.Web!D"&amp;SUM(18,38*12,11))))</f>
        <v>N/D</v>
      </c>
      <c r="AW30" s="215" t="str" cm="1">
        <f t="array" aca="1" ref="AW30" ca="1">IF($B30="","",IF(ISBLANK(INDIRECT("R9.Web!D"&amp;SUM(18,38*13,11))),"",INDIRECT("R9.Web!D"&amp;SUM(18,38*13,11))))</f>
        <v>N/T</v>
      </c>
      <c r="AX30" s="215" t="str" cm="1">
        <f t="array" aca="1" ref="AX30" ca="1">IF($B30="","",IF(ISBLANK(INDIRECT("R9.Web!D"&amp;SUM(18,38*14,11))),"",INDIRECT("R9.Web!D"&amp;SUM(18,38*14,11))))</f>
        <v>N/T</v>
      </c>
      <c r="AY30" s="215" t="str" cm="1">
        <f t="array" aca="1" ref="AY30" ca="1">IF($B30="","",IF(ISBLANK(INDIRECT("R9.Web!D"&amp;SUM(18,38*15,11))),"",INDIRECT("R9.Web!D"&amp;SUM(18,38*15,11))))</f>
        <v>N/D</v>
      </c>
      <c r="AZ30" s="215" t="str" cm="1">
        <f t="array" aca="1" ref="AZ30" ca="1">IF($B30="","",IF(ISBLANK(INDIRECT("R9.Web!D"&amp;SUM(18,38*16,11))),"",INDIRECT("R9.Web!D"&amp;SUM(18,38*16,11))))</f>
        <v>N/T</v>
      </c>
      <c r="BA30" s="215" t="str" cm="1">
        <f t="array" aca="1" ref="BA30" ca="1">IF($B30="","",IF(ISBLANK(INDIRECT("R9.Web!D"&amp;SUM(18,38*17,11))),"",INDIRECT("R9.Web!D"&amp;SUM(18,38*17,11))))</f>
        <v>N/D</v>
      </c>
      <c r="BB30" s="215" t="str" cm="1">
        <f t="array" aca="1" ref="BB30" ca="1">IF($B30="","",IF(ISBLANK(INDIRECT("R9.Web!D"&amp;SUM(18,38*18,11))),"",INDIRECT("R9.Web!D"&amp;SUM(18,38*18,11))))</f>
        <v>N/T</v>
      </c>
      <c r="BC30" s="215" t="str" cm="1">
        <f t="array" aca="1" ref="BC30" ca="1">IF($B30="","",IF(ISBLANK(INDIRECT("R9.Web!D"&amp;SUM(18,38*19,11))),"",INDIRECT("R9.Web!D"&amp;SUM(18,38*19,11))))</f>
        <v>N/D</v>
      </c>
      <c r="BD30" s="215" t="str" cm="1">
        <f t="array" aca="1" ref="BD30" ca="1">IF($B30="","",IF(ISBLANK(INDIRECT("R9.Web!D"&amp;SUM(18,38*20,11))),"",INDIRECT("R9.Web!D"&amp;SUM(18,38*20,11))))</f>
        <v>N/T</v>
      </c>
      <c r="BE30" s="215" t="str" cm="1">
        <f t="array" aca="1" ref="BE30" ca="1">IF($B30="","",IF(ISBLANK(INDIRECT("R9.Web!D"&amp;SUM(18,38*21,11))),"",INDIRECT("R9.Web!D"&amp;SUM(18,38*21,11))))</f>
        <v>N/T</v>
      </c>
      <c r="BF30" s="215" t="str" cm="1">
        <f t="array" aca="1" ref="BF30" ca="1">IF($B30="","",IF(ISBLANK(INDIRECT("R9.Web!D"&amp;SUM(18,38*22,11))),"",INDIRECT("R9.Web!D"&amp;SUM(18,38*22,11))))</f>
        <v>N/D</v>
      </c>
      <c r="BG30" s="215" t="str" cm="1">
        <f t="array" aca="1" ref="BG30" ca="1">IF($B30="","",IF(ISBLANK(INDIRECT("R9.Web!D"&amp;SUM(18,38*23,11))),"",INDIRECT("R9.Web!D"&amp;SUM(18,38*23,11))))</f>
        <v>N/D</v>
      </c>
      <c r="BH30" s="215" t="str" cm="1">
        <f t="array" aca="1" ref="BH30" ca="1">IF($B30="","",IF(ISBLANK(INDIRECT("R9.Web!D"&amp;SUM(18,38*24,11))),"",INDIRECT("R9.Web!D"&amp;SUM(18,38*24,11))))</f>
        <v>N/T</v>
      </c>
      <c r="BI30" s="215" t="str" cm="1">
        <f t="array" aca="1" ref="BI30" ca="1">IF($B30="","",IF(ISBLANK(INDIRECT("R9.Web!D"&amp;SUM(18,38*25,11))),"",INDIRECT("R9.Web!D"&amp;SUM(18,38*25,11))))</f>
        <v>N/D</v>
      </c>
      <c r="BJ30" s="215" t="str" cm="1">
        <f t="array" aca="1" ref="BJ30" ca="1">IF($B30="","",IF(ISBLANK(INDIRECT("R9.Web!D"&amp;SUM(18,38*26,11))),"",INDIRECT("R9.Web!D"&amp;SUM(18,38*26,11))))</f>
        <v>N/D</v>
      </c>
      <c r="BK30" s="215" t="str" cm="1">
        <f t="array" aca="1" ref="BK30" ca="1">IF($B30="","",IF(ISBLANK(INDIRECT("R9.Web!D"&amp;SUM(18,38*27,11))),"",INDIRECT("R9.Web!D"&amp;SUM(18,38*27,11))))</f>
        <v>N/D</v>
      </c>
      <c r="BL30" s="215" t="str" cm="1">
        <f t="array" aca="1" ref="BL30" ca="1">IF($B30="","",IF(ISBLANK(INDIRECT("R9.Web!D"&amp;SUM(18,38*28,11))),"",INDIRECT("R9.Web!D"&amp;SUM(18,38*28,11))))</f>
        <v>N/D</v>
      </c>
      <c r="BM30" s="215" t="str" cm="1">
        <f t="array" aca="1" ref="BM30" ca="1">IF($B30="","",IF(ISBLANK(INDIRECT("R9.Web!D"&amp;SUM(18,38*29,11))),"",INDIRECT("R9.Web!D"&amp;SUM(18,38*29,11))))</f>
        <v>N/D</v>
      </c>
      <c r="BN30" s="215" t="str" cm="1">
        <f t="array" aca="1" ref="BN30" ca="1">IF($B30="","",IF(ISBLANK(INDIRECT("R9.Web!D"&amp;SUM(18,38*30,11))),"",INDIRECT("R9.Web!D"&amp;SUM(18,38*30,11))))</f>
        <v>N/T</v>
      </c>
      <c r="BO30" s="215" t="str" cm="1">
        <f t="array" aca="1" ref="BO30" ca="1">IF($B30="","",IF(ISBLANK(INDIRECT("R9.Web!D"&amp;SUM(18,38*31,11))),"",INDIRECT("R9.Web!D"&amp;SUM(18,38*31,11))))</f>
        <v>N/D</v>
      </c>
      <c r="BP30" s="215" t="str" cm="1">
        <f t="array" aca="1" ref="BP30" ca="1">IF($B30="","",IF(ISBLANK(INDIRECT("R9.Web!D"&amp;SUM(18,38*32,11))),"",INDIRECT("R9.Web!D"&amp;SUM(18,38*32,11))))</f>
        <v>N/T</v>
      </c>
      <c r="BQ30" s="215" t="str" cm="1">
        <f t="array" aca="1" ref="BQ30" ca="1">IF($B30="","",IF(ISBLANK(INDIRECT("R9.Web!D"&amp;SUM(18,38*33,11))),"",INDIRECT("R9.Web!D"&amp;SUM(18,38*33,11))))</f>
        <v>N/T</v>
      </c>
      <c r="BR30" s="215" t="str" cm="1">
        <f t="array" aca="1" ref="BR30" ca="1">IF($B30="","",IF(ISBLANK(INDIRECT("R9.Web!D"&amp;SUM(18,38*34,11))),"",INDIRECT("R9.Web!D"&amp;SUM(18,38*34,11))))</f>
        <v>N/D</v>
      </c>
      <c r="BS30" s="215" t="str" cm="1">
        <f t="array" aca="1" ref="BS30" ca="1">IF($B30="","",IF(ISBLANK(INDIRECT("R9.Web!D"&amp;SUM(18,38*35,11))),"",INDIRECT("R9.Web!D"&amp;SUM(18,38*35,11))))</f>
        <v>N/T</v>
      </c>
      <c r="BT30" s="215" t="str" cm="1">
        <f t="array" aca="1" ref="BT30" ca="1">IF($B30="","",IF(ISBLANK(INDIRECT("R9.Web!D"&amp;SUM(18,38*36,11))),"",INDIRECT("R9.Web!D"&amp;SUM(18,38*36,11))))</f>
        <v>N/D</v>
      </c>
      <c r="BU30" s="215" t="str" cm="1">
        <f t="array" aca="1" ref="BU30" ca="1">IF($B30="","",IF(ISBLANK(INDIRECT("R9.Web!D"&amp;SUM(18,38*37,11))),"",INDIRECT("R9.Web!D"&amp;SUM(18,38*37,11))))</f>
        <v>N/D</v>
      </c>
      <c r="BV30" s="215" t="str" cm="1">
        <f t="array" aca="1" ref="BV30" ca="1">IF($B30="","",IF(ISBLANK(INDIRECT("R9.Web!D"&amp;SUM(18,38*38,11))),"",INDIRECT("R9.Web!D"&amp;SUM(18,38*38,11))))</f>
        <v>N/D</v>
      </c>
      <c r="BW30" s="215" t="str" cm="1">
        <f t="array" aca="1" ref="BW30" ca="1">IF($B30="","",IF(ISBLANK(INDIRECT("R9.Web!D"&amp;SUM(18,38*39,11))),"",INDIRECT("R9.Web!D"&amp;SUM(18,38*39,11))))</f>
        <v>N/D</v>
      </c>
      <c r="BX30" s="215" t="str" cm="1">
        <f t="array" aca="1" ref="BX30" ca="1">IF($B30="","",IF(ISBLANK(INDIRECT("R9.Web!D"&amp;SUM(18,38*40,11))),"",INDIRECT("R9.Web!D"&amp;SUM(18,38*40,11))))</f>
        <v>N/D</v>
      </c>
      <c r="BY30" s="215" t="str" cm="1">
        <f t="array" aca="1" ref="BY30" ca="1">IF($B30="","",IF(ISBLANK(INDIRECT("R9.Web!D"&amp;SUM(18,38*41,11))),"",INDIRECT("R9.Web!D"&amp;SUM(18,38*41,11))))</f>
        <v>N/T</v>
      </c>
      <c r="BZ30" s="215" t="str" cm="1">
        <f t="array" aca="1" ref="BZ30" ca="1">IF($B30="","",IF(ISBLANK(INDIRECT("R9.Web!D"&amp;SUM(18,38*42,11))),"",INDIRECT("R9.Web!D"&amp;SUM(18,38*42,11))))</f>
        <v>N/T</v>
      </c>
      <c r="CA30" s="215" t="str" cm="1">
        <f t="array" aca="1" ref="CA30" ca="1">IF($B30="","",IF(ISBLANK(INDIRECT("R9.Web!D"&amp;SUM(18,38*43,11))),"",INDIRECT("R9.Web!D"&amp;SUM(18,38*43,11))))</f>
        <v>N/D</v>
      </c>
      <c r="CB30" s="215" t="str" cm="1">
        <f t="array" aca="1" ref="CB30" ca="1">IF($B30="","",IF(ISBLANK(INDIRECT("R9.Web!D"&amp;SUM(18,38*44,11))),"",INDIRECT("R9.Web!D"&amp;SUM(18,38*44,11))))</f>
        <v>N/T</v>
      </c>
      <c r="CC30" s="215" t="str" cm="1">
        <f t="array" aca="1" ref="CC30" ca="1">IF($B30="","",IF(ISBLANK(INDIRECT("R9.Web!D"&amp;SUM(18,38*45,11))),"",INDIRECT("R9.Web!D"&amp;SUM(18,38*45,11))))</f>
        <v>N/T</v>
      </c>
      <c r="CD30" s="215" t="str" cm="1">
        <f t="array" aca="1" ref="CD30" ca="1">IF($B30="","",IF(ISBLANK(INDIRECT("R9.Web!D"&amp;SUM(18,38*46,11))),"",INDIRECT("R9.Web!D"&amp;SUM(18,38*46,11))))</f>
        <v>N/T</v>
      </c>
      <c r="CE30" s="215" t="str" cm="1">
        <f t="array" aca="1" ref="CE30" ca="1">IF($B30="","",IF(ISBLANK(INDIRECT("R9.Web!D"&amp;SUM(18,38*47,11))),"",INDIRECT("R9.Web!D"&amp;SUM(18,38*47,11))))</f>
        <v>N/D</v>
      </c>
      <c r="CF30" s="215" t="str" cm="1">
        <f t="array" aca="1" ref="CF30" ca="1">IF($B30="","",IF(ISBLANK(INDIRECT("R9.Web!D"&amp;SUM(18,38*48,11))),"",INDIRECT("R9.Web!D"&amp;SUM(18,38*48,11))))</f>
        <v>N/T</v>
      </c>
      <c r="CG30" s="215" t="str" cm="1">
        <f t="array" aca="1" ref="CG30" ca="1">IF($B30="","",IF(ISBLANK(INDIRECT("R9.Web!D"&amp;SUM(18,38*49,11))),"",INDIRECT("R9.Web!D"&amp;SUM(18,38*49,11))))</f>
        <v>N/T</v>
      </c>
      <c r="CH30" s="215" t="str" cm="1">
        <f t="array" aca="1" ref="CH30" ca="1">IF($B30="","",IF(ISBLANK(INDIRECT("R11.Software!D"&amp;SUM(18,38*0,11))),"",INDIRECT("R11.Software!D"&amp;SUM(18,38*0,11))))</f>
        <v>N/T</v>
      </c>
      <c r="CI30" s="215" t="str" cm="1">
        <f t="array" aca="1" ref="CI30" ca="1">IF($B30="","",IF(ISBLANK(INDIRECT("R11.Software!D"&amp;SUM(18,38*1,11))),"",INDIRECT("R11.Software!D"&amp;SUM(18,38*1,11))))</f>
        <v>N/T</v>
      </c>
      <c r="CJ30" s="215" t="str" cm="1">
        <f t="array" aca="1" ref="CJ30" ca="1">IF($B30="","",IF(ISBLANK(INDIRECT("R11.Software!D"&amp;SUM(18,38*2,11))),"",INDIRECT("R11.Software!D"&amp;SUM(18,38*2,11))))</f>
        <v>N/T</v>
      </c>
      <c r="CK30" s="215" t="str" cm="1">
        <f t="array" aca="1" ref="CK30" ca="1">IF($B30="","",IF(ISBLANK(INDIRECT("R11.Software!D"&amp;SUM(18,38*3,11))),"",INDIRECT("R11.Software!D"&amp;SUM(18,38*3,11))))</f>
        <v>N/T</v>
      </c>
      <c r="CL30" s="215" t="str" cm="1">
        <f t="array" aca="1" ref="CL30" ca="1">IF($B30="","",IF(ISBLANK(INDIRECT("R11.Software!D"&amp;SUM(18,38*4,11))),"",INDIRECT("R11.Software!D"&amp;SUM(18,38*4,11))))</f>
        <v>N/T</v>
      </c>
      <c r="CM30" s="215" t="str" cm="1">
        <f t="array" aca="1" ref="CM30" ca="1">IF($B30="","",IF(ISBLANK(INDIRECT("R11.Software!D"&amp;SUM(18,38*5,11))),"",INDIRECT("R11.Software!D"&amp;SUM(18,38*5,11))))</f>
        <v>N/T</v>
      </c>
      <c r="CN30" s="215" t="str" cm="1">
        <f t="array" aca="1" ref="CN30" ca="1">IF($B30="","",IF(ISBLANK(INDIRECT("R12.ServiciosApoyo!D"&amp;SUM(18,38*0,11))),"",INDIRECT("R12.ServiciosApoyo!D"&amp;SUM(18,38*0,11))))</f>
        <v>N/T</v>
      </c>
      <c r="CO30" s="215" t="str" cm="1">
        <f t="array" aca="1" ref="CO30" ca="1">IF($B30="","",IF(ISBLANK(INDIRECT("R12.ServiciosApoyo!D"&amp;SUM(18,38*1,11))),"",INDIRECT("R12.ServiciosApoyo!D"&amp;SUM(18,38*1,11))))</f>
        <v>N/T</v>
      </c>
      <c r="CP30" s="215" t="str" cm="1">
        <f t="array" aca="1" ref="CP30" ca="1">IF($B30="","",IF(ISBLANK(INDIRECT("R12.ServiciosApoyo!D"&amp;SUM(18,38*2,11))),"",INDIRECT("R12.ServiciosApoyo!D"&amp;SUM(18,38*2,11))))</f>
        <v>N/T</v>
      </c>
      <c r="CQ30" s="215" t="str" cm="1">
        <f t="array" aca="1" ref="CQ30" ca="1">IF($B30="","",IF(ISBLANK(INDIRECT("R12.ServiciosApoyo!D"&amp;SUM(18,38*3,11))),"",INDIRECT("R12.ServiciosApoyo!D"&amp;SUM(18,38*3,11))))</f>
        <v>N/T</v>
      </c>
      <c r="CR30" s="215" t="str" cm="1">
        <f t="array" aca="1" ref="CR30" ca="1">IF($B30="","",IF(ISBLANK(INDIRECT("R12.ServiciosApoyo!D"&amp;SUM(18,38*4,11))),"",INDIRECT("R12.ServiciosApoyo!D"&amp;SUM(18,38*4,11))))</f>
        <v>N/T</v>
      </c>
      <c r="CU30" s="100"/>
      <c r="CV30" s="101"/>
      <c r="CW30" s="29"/>
      <c r="CX30" s="29"/>
    </row>
    <row r="31" spans="2:102" ht="20.25">
      <c r="B31" s="181" t="n" cm="1">
        <f t="array" ref="B31">IFERROR(INDEX('03.Muestra'!$B$8:$B$42,SMALL(IF("Página Web"='03.Muestra'!$D$8:$D$42,ROW('03.Muestra'!$B$8:$B$42)-MIN(ROW('03.Muestra'!$D$8:$D$42))+1,""),ROW()-19)),"")</f>
        <v>1.0</v>
      </c>
      <c r="C31" s="97" t="str" cm="1">
        <f t="array" ref="C31">IFERROR(INDEX('03.Muestra'!$C$8:$C$42,SMALL(IF("Página Web"='03.Muestra'!$D$8:$D$42,ROW('03.Muestra'!$C$8:$C$42)-MIN(ROW('03.Muestra'!$D$8:$D$42))+1,""),ROW()-19)),"")</f>
        <v>Home - PortCastelló</v>
      </c>
      <c r="D31" s="98" t="str" cm="1">
        <f t="array" ref="D31">IFERROR(INDEX('03.Muestra'!$F$8:$F$42,SMALL(IF("Página Web"='03.Muestra'!$D$8:$D$42,ROW('03.Muestra'!$F$8:$F$42)-MIN(ROW('03.Muestra'!$D$8:$D$42))+1,""),ROW()-19)),"")</f>
        <v>https://www.portcastello.com/</v>
      </c>
      <c r="E31" s="215" t="str" cm="1">
        <f t="array" aca="1" ref="E31" ca="1">IF($B31="","",IF(ISBLANK(INDIRECT("R5.Genéricos!D"&amp;SUM(18,38*0,12))),"",INDIRECT("R5.Genéricos!D"&amp;SUM(18,38*0,12))))</f>
        <v>N/T</v>
      </c>
      <c r="F31" s="215" t="str" cm="1">
        <f t="array" aca="1" ref="F31" ca="1">IF($B31="","",IF(ISBLANK(INDIRECT("R5.Genéricos!D"&amp;SUM(18,38*1,12))),"",INDIRECT("R5.Genéricos!D"&amp;SUM(18,38*1,12))))</f>
        <v>N/T</v>
      </c>
      <c r="G31" s="215" t="str" cm="1">
        <f t="array" aca="1" ref="G31" ca="1">IF($B31="","",IF(ISBLANK(INDIRECT("R5.Genéricos!D"&amp;SUM(18,38*2,12))),"",INDIRECT("R5.Genéricos!D"&amp;SUM(18,38*2,12))))</f>
        <v>N/T</v>
      </c>
      <c r="H31" s="215" t="str" cm="1">
        <f t="array" aca="1" ref="H31" ca="1">IF($B31="","",IF(ISBLANK(INDIRECT("R6.Voz!D"&amp;SUM(18,38*0,12))),"",INDIRECT("R6.Voz!D"&amp;SUM(18,38*0,12))))</f>
        <v>N/T</v>
      </c>
      <c r="I31" s="215" t="str" cm="1">
        <f t="array" aca="1" ref="I31" ca="1">IF($B31="","",IF(ISBLANK(INDIRECT("R6.Voz!D"&amp;SUM(18,38*1,12))),"",INDIRECT("R6.Voz!D"&amp;SUM(18,38*1,12))))</f>
        <v>N/T</v>
      </c>
      <c r="J31" s="215" t="str" cm="1">
        <f t="array" aca="1" ref="J31" ca="1">IF($B31="","",IF(ISBLANK(INDIRECT("R6.Voz!D"&amp;SUM(18,38*2,12))),"",INDIRECT("R6.Voz!D"&amp;SUM(18,38*2,12))))</f>
        <v>N/T</v>
      </c>
      <c r="K31" s="215" t="str" cm="1">
        <f t="array" aca="1" ref="K31" ca="1">IF($B31="","",IF(ISBLANK(INDIRECT("R6.Voz!D"&amp;SUM(18,38*3,12))),"",INDIRECT("R6.Voz!D"&amp;SUM(18,38*3,12))))</f>
        <v>N/T</v>
      </c>
      <c r="L31" s="215" t="str" cm="1">
        <f t="array" aca="1" ref="L31" ca="1">IF($B31="","",IF(ISBLANK(INDIRECT("R6.Voz!D"&amp;SUM(18,38*4,12))),"",INDIRECT("R6.Voz!D"&amp;SUM(18,38*4,12))))</f>
        <v>N/T</v>
      </c>
      <c r="M31" s="215" t="str" cm="1">
        <f t="array" aca="1" ref="M31" ca="1">IF($B31="","",IF(ISBLANK(INDIRECT("R6.Voz!D"&amp;SUM(18,38*5,12))),"",INDIRECT("R6.Voz!D"&amp;SUM(18,38*5,12))))</f>
        <v>N/T</v>
      </c>
      <c r="N31" s="215" t="str" cm="1">
        <f t="array" aca="1" ref="N31" ca="1">IF($B31="","",IF(ISBLANK(INDIRECT("R6.Voz!D"&amp;SUM(18,38*6,12))),"",INDIRECT("R6.Voz!D"&amp;SUM(18,38*6,12))))</f>
        <v>N/T</v>
      </c>
      <c r="O31" s="215" t="str" cm="1">
        <f t="array" aca="1" ref="O31" ca="1">IF($B31="","",IF(ISBLANK(INDIRECT("R6.Voz!D"&amp;SUM(18,38*7,12))),"",INDIRECT("R6.Voz!D"&amp;SUM(18,38*7,12))))</f>
        <v>N/T</v>
      </c>
      <c r="P31" s="215" t="str" cm="1">
        <f t="array" aca="1" ref="P31" ca="1">IF($B31="","",IF(ISBLANK(INDIRECT("R6.Voz!D"&amp;SUM(18,38*8,12))),"",INDIRECT("R6.Voz!D"&amp;SUM(18,38*8,12))))</f>
        <v>N/T</v>
      </c>
      <c r="Q31" s="215" t="str" cm="1">
        <f t="array" aca="1" ref="Q31" ca="1">IF($B31="","",IF(ISBLANK(INDIRECT("R6.Voz!D"&amp;SUM(18,38*9,12))),"",INDIRECT("R6.Voz!D"&amp;SUM(18,38*9,12))))</f>
        <v>N/T</v>
      </c>
      <c r="R31" s="215" t="str" cm="1">
        <f t="array" aca="1" ref="R31" ca="1">IF($B31="","",IF(ISBLANK(INDIRECT("R6.Voz!D"&amp;SUM(18,38*10,12))),"",INDIRECT("R6.Voz!D"&amp;SUM(18,38*10,12))))</f>
        <v>N/T</v>
      </c>
      <c r="S31" s="215" t="str" cm="1">
        <f t="array" aca="1" ref="S31" ca="1">IF($B31="","",IF(ISBLANK(INDIRECT("R6.Voz!D"&amp;SUM(18,38*11,12))),"",INDIRECT("R6.Voz!D"&amp;SUM(18,38*11,12))))</f>
        <v>N/T</v>
      </c>
      <c r="T31" s="215" t="str" cm="1">
        <f t="array" aca="1" ref="T31" ca="1">IF($B31="","",IF(ISBLANK(INDIRECT("R6.Voz!D"&amp;SUM(18,38*12,12))),"",INDIRECT("R6.Voz!D"&amp;SUM(18,38*12,12))))</f>
        <v>N/T</v>
      </c>
      <c r="U31" s="215" t="str" cm="1">
        <f t="array" aca="1" ref="U31" ca="1">IF($B31="","",IF(ISBLANK(INDIRECT("R6.Voz!D"&amp;SUM(18,38*13,12))),"",INDIRECT("R6.Voz!D"&amp;SUM(18,38*13,12))))</f>
        <v>N/T</v>
      </c>
      <c r="V31" s="215" t="str" cm="1">
        <f t="array" aca="1" ref="V31" ca="1">IF($B31="","",IF(ISBLANK(INDIRECT("R6.Voz!D"&amp;SUM(18,38*14,12))),"",INDIRECT("R6.Voz!D"&amp;SUM(18,38*14,12))))</f>
        <v>N/T</v>
      </c>
      <c r="W31" s="215" t="str" cm="1">
        <f t="array" aca="1" ref="W31" ca="1">IF($B31="","",IF(ISBLANK(INDIRECT("R6.Voz!D"&amp;SUM(18,38*15,12))),"",INDIRECT("R6.Voz!D"&amp;SUM(18,38*15,12))))</f>
        <v>N/T</v>
      </c>
      <c r="X31" s="215" t="str" cm="1">
        <f t="array" aca="1" ref="X31" ca="1">IF($B31="","",IF(ISBLANK(INDIRECT("R6.Voz!D"&amp;SUM(18,38*16,12))),"",INDIRECT("R6.Voz!D"&amp;SUM(18,38*16,12))))</f>
        <v>N/T</v>
      </c>
      <c r="Y31" s="215" t="str" cm="1">
        <f t="array" aca="1" ref="Y31" ca="1">IF($B31="","",IF(ISBLANK(INDIRECT("R6.Voz!D"&amp;SUM(18,38*17,12))),"",INDIRECT("R6.Voz!D"&amp;SUM(18,38*17,12))))</f>
        <v>N/T</v>
      </c>
      <c r="Z31" s="215" t="str" cm="1">
        <f t="array" aca="1" ref="Z31" ca="1">IF($B31="","",IF(ISBLANK(INDIRECT("R6.Voz!D"&amp;SUM(18,38*18,12))),"",INDIRECT("R6.Voz!D"&amp;SUM(18,38*18,12))))</f>
        <v>N/T</v>
      </c>
      <c r="AA31" s="215" t="str" cm="1">
        <f t="array" aca="1" ref="AA31" ca="1">IF($B31="","",IF(ISBLANK(INDIRECT("R7.Video!D"&amp;SUM(18,38*0,12))),"",INDIRECT("R7.Video!D"&amp;SUM(18,38*0,12))))</f>
        <v>N/T</v>
      </c>
      <c r="AB31" s="215" t="str" cm="1">
        <f t="array" aca="1" ref="AB31" ca="1">IF($B31="","",IF(ISBLANK(INDIRECT("R7.Video!D"&amp;SUM(18,38*1,12))),"",INDIRECT("R7.Video!D"&amp;SUM(18,38*1,12))))</f>
        <v>N/T</v>
      </c>
      <c r="AC31" s="215" t="str" cm="1">
        <f t="array" aca="1" ref="AC31" ca="1">IF($B31="","",IF(ISBLANK(INDIRECT("R7.Video!D"&amp;SUM(18,38*2,12))),"",INDIRECT("R7.Video!D"&amp;SUM(18,38*2,12))))</f>
        <v>N/T</v>
      </c>
      <c r="AD31" s="215" t="str" cm="1">
        <f t="array" aca="1" ref="AD31" ca="1">IF($B31="","",IF(ISBLANK(INDIRECT("R7.Video!D"&amp;SUM(18,38*3,12))),"",INDIRECT("R7.Video!D"&amp;SUM(18,38*3,12))))</f>
        <v>N/T</v>
      </c>
      <c r="AE31" s="215" t="str" cm="1">
        <f t="array" aca="1" ref="AE31" ca="1">IF($B31="","",IF(ISBLANK(INDIRECT("R7.Video!D"&amp;SUM(18,38*4,12))),"",INDIRECT("R7.Video!D"&amp;SUM(18,38*4,12))))</f>
        <v>N/T</v>
      </c>
      <c r="AF31" s="215" t="str" cm="1">
        <f t="array" aca="1" ref="AF31" ca="1">IF($B31="","",IF(ISBLANK(INDIRECT("R7.Video!D"&amp;SUM(18,38*5,12))),"",INDIRECT("R7.Video!D"&amp;SUM(18,38*5,12))))</f>
        <v>N/T</v>
      </c>
      <c r="AG31" s="215" t="str" cm="1">
        <f t="array" aca="1" ref="AG31" ca="1">IF($B31="","",IF(ISBLANK(INDIRECT("R7.Video!D"&amp;SUM(18,38*6,12))),"",INDIRECT("R7.Video!D"&amp;SUM(18,38*6,12))))</f>
        <v>N/T</v>
      </c>
      <c r="AH31" s="215" t="str" cm="1">
        <f t="array" aca="1" ref="AH31" ca="1">IF($B31="","",IF(ISBLANK(INDIRECT("R7.Video!D"&amp;SUM(18,38*7,12))),"",INDIRECT("R7.Video!D"&amp;SUM(18,38*7,12))))</f>
        <v>N/T</v>
      </c>
      <c r="AI31" s="215" t="str" cm="1">
        <f t="array" aca="1" ref="AI31" ca="1">IF($B31="","",IF(ISBLANK(INDIRECT("R7.Video!D"&amp;SUM(18,38*8,12))),"",INDIRECT("R7.Video!D"&amp;SUM(18,38*8,12))))</f>
        <v>N/T</v>
      </c>
      <c r="AJ31" s="215" t="str" cm="1">
        <f t="array" aca="1" ref="AJ31" ca="1">IF($B31="","",IF(ISBLANK(INDIRECT("R9.Web!D"&amp;SUM(18,38*0,12))),"",INDIRECT("R9.Web!D"&amp;SUM(18,38*0,12))))</f>
        <v>N/D</v>
      </c>
      <c r="AK31" s="215" t="str" cm="1">
        <f t="array" aca="1" ref="AK31" ca="1">IF($B31="","",IF(ISBLANK(INDIRECT("R9.Web!D"&amp;SUM(18,38*1,12))),"",INDIRECT("R9.Web!D"&amp;SUM(18,38*1,12))))</f>
        <v>N/T</v>
      </c>
      <c r="AL31" s="215" t="str" cm="1">
        <f t="array" aca="1" ref="AL31" ca="1">IF($B31="","",IF(ISBLANK(INDIRECT("R9.Web!D"&amp;SUM(18,38*2,12))),"",INDIRECT("R9.Web!D"&amp;SUM(18,38*2,12))))</f>
        <v>N/T</v>
      </c>
      <c r="AM31" s="215" t="str" cm="1">
        <f t="array" aca="1" ref="AM31" ca="1">IF($B31="","",IF(ISBLANK(INDIRECT("R9.Web!D"&amp;SUM(18,38*3,12))),"",INDIRECT("R9.Web!D"&amp;SUM(18,38*3,12))))</f>
        <v>N/T</v>
      </c>
      <c r="AN31" s="215" t="str" cm="1">
        <f t="array" aca="1" ref="AN31" ca="1">IF($B31="","",IF(ISBLANK(INDIRECT("R9.Web!D"&amp;SUM(18,38*4,12))),"",INDIRECT("R9.Web!D"&amp;SUM(18,38*4,12))))</f>
        <v>N/T</v>
      </c>
      <c r="AO31" s="215" t="str" cm="1">
        <f t="array" aca="1" ref="AO31" ca="1">IF($B31="","",IF(ISBLANK(INDIRECT("R9.Web!D"&amp;SUM(18,38*5,12))),"",INDIRECT("R9.Web!D"&amp;SUM(18,38*5,12))))</f>
        <v>N/D</v>
      </c>
      <c r="AP31" s="215" t="str" cm="1">
        <f t="array" aca="1" ref="AP31" ca="1">IF($B31="","",IF(ISBLANK(INDIRECT("R9.Web!D"&amp;SUM(18,38*6,12))),"",INDIRECT("R9.Web!D"&amp;SUM(18,38*6,12))))</f>
        <v>N/T</v>
      </c>
      <c r="AQ31" s="215" t="str" cm="1">
        <f t="array" aca="1" ref="AQ31" ca="1">IF($B31="","",IF(ISBLANK(INDIRECT("R9.Web!D"&amp;SUM(18,38*7,12))),"",INDIRECT("R9.Web!D"&amp;SUM(18,38*7,12))))</f>
        <v>N/T</v>
      </c>
      <c r="AR31" s="215" t="str" cm="1">
        <f t="array" aca="1" ref="AR31" ca="1">IF($B31="","",IF(ISBLANK(INDIRECT("R9.Web!D"&amp;SUM(18,38*8,12))),"",INDIRECT("R9.Web!D"&amp;SUM(18,38*8,12))))</f>
        <v>N/D</v>
      </c>
      <c r="AS31" s="215" t="str" cm="1">
        <f t="array" aca="1" ref="AS31" ca="1">IF($B31="","",IF(ISBLANK(INDIRECT("R9.Web!D"&amp;SUM(18,38*9,12))),"",INDIRECT("R9.Web!D"&amp;SUM(18,38*9,12))))</f>
        <v>N/D</v>
      </c>
      <c r="AT31" s="215" t="str" cm="1">
        <f t="array" aca="1" ref="AT31" ca="1">IF($B31="","",IF(ISBLANK(INDIRECT("R9.Web!D"&amp;SUM(18,38*10,12))),"",INDIRECT("R9.Web!D"&amp;SUM(18,38*10,12))))</f>
        <v>N/T</v>
      </c>
      <c r="AU31" s="215" t="str" cm="1">
        <f t="array" aca="1" ref="AU31" ca="1">IF($B31="","",IF(ISBLANK(INDIRECT("R9.Web!D"&amp;SUM(18,38*11,12))),"",INDIRECT("R9.Web!D"&amp;SUM(18,38*11,12))))</f>
        <v>N/T</v>
      </c>
      <c r="AV31" s="215" t="str" cm="1">
        <f t="array" aca="1" ref="AV31" ca="1">IF($B31="","",IF(ISBLANK(INDIRECT("R9.Web!D"&amp;SUM(18,38*12,12))),"",INDIRECT("R9.Web!D"&amp;SUM(18,38*12,12))))</f>
        <v>N/D</v>
      </c>
      <c r="AW31" s="215" t="str" cm="1">
        <f t="array" aca="1" ref="AW31" ca="1">IF($B31="","",IF(ISBLANK(INDIRECT("R9.Web!D"&amp;SUM(18,38*13,12))),"",INDIRECT("R9.Web!D"&amp;SUM(18,38*13,12))))</f>
        <v>N/T</v>
      </c>
      <c r="AX31" s="215" t="str" cm="1">
        <f t="array" aca="1" ref="AX31" ca="1">IF($B31="","",IF(ISBLANK(INDIRECT("R9.Web!D"&amp;SUM(18,38*14,12))),"",INDIRECT("R9.Web!D"&amp;SUM(18,38*14,12))))</f>
        <v>N/T</v>
      </c>
      <c r="AY31" s="215" t="str" cm="1">
        <f t="array" aca="1" ref="AY31" ca="1">IF($B31="","",IF(ISBLANK(INDIRECT("R9.Web!D"&amp;SUM(18,38*15,12))),"",INDIRECT("R9.Web!D"&amp;SUM(18,38*15,12))))</f>
        <v>N/D</v>
      </c>
      <c r="AZ31" s="215" t="str" cm="1">
        <f t="array" aca="1" ref="AZ31" ca="1">IF($B31="","",IF(ISBLANK(INDIRECT("R9.Web!D"&amp;SUM(18,38*16,12))),"",INDIRECT("R9.Web!D"&amp;SUM(18,38*16,12))))</f>
        <v>N/T</v>
      </c>
      <c r="BA31" s="215" t="str" cm="1">
        <f t="array" aca="1" ref="BA31" ca="1">IF($B31="","",IF(ISBLANK(INDIRECT("R9.Web!D"&amp;SUM(18,38*17,12))),"",INDIRECT("R9.Web!D"&amp;SUM(18,38*17,12))))</f>
        <v>N/D</v>
      </c>
      <c r="BB31" s="215" t="str" cm="1">
        <f t="array" aca="1" ref="BB31" ca="1">IF($B31="","",IF(ISBLANK(INDIRECT("R9.Web!D"&amp;SUM(18,38*18,12))),"",INDIRECT("R9.Web!D"&amp;SUM(18,38*18,12))))</f>
        <v>N/T</v>
      </c>
      <c r="BC31" s="215" t="str" cm="1">
        <f t="array" aca="1" ref="BC31" ca="1">IF($B31="","",IF(ISBLANK(INDIRECT("R9.Web!D"&amp;SUM(18,38*19,12))),"",INDIRECT("R9.Web!D"&amp;SUM(18,38*19,12))))</f>
        <v>N/D</v>
      </c>
      <c r="BD31" s="215" t="str" cm="1">
        <f t="array" aca="1" ref="BD31" ca="1">IF($B31="","",IF(ISBLANK(INDIRECT("R9.Web!D"&amp;SUM(18,38*20,12))),"",INDIRECT("R9.Web!D"&amp;SUM(18,38*20,12))))</f>
        <v>N/T</v>
      </c>
      <c r="BE31" s="215" t="str" cm="1">
        <f t="array" aca="1" ref="BE31" ca="1">IF($B31="","",IF(ISBLANK(INDIRECT("R9.Web!D"&amp;SUM(18,38*21,12))),"",INDIRECT("R9.Web!D"&amp;SUM(18,38*21,12))))</f>
        <v>N/T</v>
      </c>
      <c r="BF31" s="215" t="str" cm="1">
        <f t="array" aca="1" ref="BF31" ca="1">IF($B31="","",IF(ISBLANK(INDIRECT("R9.Web!D"&amp;SUM(18,38*22,12))),"",INDIRECT("R9.Web!D"&amp;SUM(18,38*22,12))))</f>
        <v>N/D</v>
      </c>
      <c r="BG31" s="215" t="str" cm="1">
        <f t="array" aca="1" ref="BG31" ca="1">IF($B31="","",IF(ISBLANK(INDIRECT("R9.Web!D"&amp;SUM(18,38*23,12))),"",INDIRECT("R9.Web!D"&amp;SUM(18,38*23,12))))</f>
        <v>N/D</v>
      </c>
      <c r="BH31" s="215" t="str" cm="1">
        <f t="array" aca="1" ref="BH31" ca="1">IF($B31="","",IF(ISBLANK(INDIRECT("R9.Web!D"&amp;SUM(18,38*24,12))),"",INDIRECT("R9.Web!D"&amp;SUM(18,38*24,12))))</f>
        <v>N/T</v>
      </c>
      <c r="BI31" s="215" t="str" cm="1">
        <f t="array" aca="1" ref="BI31" ca="1">IF($B31="","",IF(ISBLANK(INDIRECT("R9.Web!D"&amp;SUM(18,38*25,12))),"",INDIRECT("R9.Web!D"&amp;SUM(18,38*25,12))))</f>
        <v>N/D</v>
      </c>
      <c r="BJ31" s="215" t="str" cm="1">
        <f t="array" aca="1" ref="BJ31" ca="1">IF($B31="","",IF(ISBLANK(INDIRECT("R9.Web!D"&amp;SUM(18,38*26,12))),"",INDIRECT("R9.Web!D"&amp;SUM(18,38*26,12))))</f>
        <v>N/D</v>
      </c>
      <c r="BK31" s="215" t="str" cm="1">
        <f t="array" aca="1" ref="BK31" ca="1">IF($B31="","",IF(ISBLANK(INDIRECT("R9.Web!D"&amp;SUM(18,38*27,12))),"",INDIRECT("R9.Web!D"&amp;SUM(18,38*27,12))))</f>
        <v>N/D</v>
      </c>
      <c r="BL31" s="215" t="str" cm="1">
        <f t="array" aca="1" ref="BL31" ca="1">IF($B31="","",IF(ISBLANK(INDIRECT("R9.Web!D"&amp;SUM(18,38*28,12))),"",INDIRECT("R9.Web!D"&amp;SUM(18,38*28,12))))</f>
        <v>N/D</v>
      </c>
      <c r="BM31" s="215" t="str" cm="1">
        <f t="array" aca="1" ref="BM31" ca="1">IF($B31="","",IF(ISBLANK(INDIRECT("R9.Web!D"&amp;SUM(18,38*29,12))),"",INDIRECT("R9.Web!D"&amp;SUM(18,38*29,12))))</f>
        <v>N/D</v>
      </c>
      <c r="BN31" s="215" t="str" cm="1">
        <f t="array" aca="1" ref="BN31" ca="1">IF($B31="","",IF(ISBLANK(INDIRECT("R9.Web!D"&amp;SUM(18,38*30,12))),"",INDIRECT("R9.Web!D"&amp;SUM(18,38*30,12))))</f>
        <v>N/T</v>
      </c>
      <c r="BO31" s="215" t="str" cm="1">
        <f t="array" aca="1" ref="BO31" ca="1">IF($B31="","",IF(ISBLANK(INDIRECT("R9.Web!D"&amp;SUM(18,38*31,12))),"",INDIRECT("R9.Web!D"&amp;SUM(18,38*31,12))))</f>
        <v>N/D</v>
      </c>
      <c r="BP31" s="215" t="str" cm="1">
        <f t="array" aca="1" ref="BP31" ca="1">IF($B31="","",IF(ISBLANK(INDIRECT("R9.Web!D"&amp;SUM(18,38*32,12))),"",INDIRECT("R9.Web!D"&amp;SUM(18,38*32,12))))</f>
        <v>N/T</v>
      </c>
      <c r="BQ31" s="215" t="str" cm="1">
        <f t="array" aca="1" ref="BQ31" ca="1">IF($B31="","",IF(ISBLANK(INDIRECT("R9.Web!D"&amp;SUM(18,38*33,12))),"",INDIRECT("R9.Web!D"&amp;SUM(18,38*33,12))))</f>
        <v>N/T</v>
      </c>
      <c r="BR31" s="215" t="str" cm="1">
        <f t="array" aca="1" ref="BR31" ca="1">IF($B31="","",IF(ISBLANK(INDIRECT("R9.Web!D"&amp;SUM(18,38*34,12))),"",INDIRECT("R9.Web!D"&amp;SUM(18,38*34,12))))</f>
        <v>N/D</v>
      </c>
      <c r="BS31" s="215" t="str" cm="1">
        <f t="array" aca="1" ref="BS31" ca="1">IF($B31="","",IF(ISBLANK(INDIRECT("R9.Web!D"&amp;SUM(18,38*35,12))),"",INDIRECT("R9.Web!D"&amp;SUM(18,38*35,12))))</f>
        <v>N/T</v>
      </c>
      <c r="BT31" s="215" t="str" cm="1">
        <f t="array" aca="1" ref="BT31" ca="1">IF($B31="","",IF(ISBLANK(INDIRECT("R9.Web!D"&amp;SUM(18,38*36,12))),"",INDIRECT("R9.Web!D"&amp;SUM(18,38*36,12))))</f>
        <v>N/D</v>
      </c>
      <c r="BU31" s="215" t="str" cm="1">
        <f t="array" aca="1" ref="BU31" ca="1">IF($B31="","",IF(ISBLANK(INDIRECT("R9.Web!D"&amp;SUM(18,38*37,12))),"",INDIRECT("R9.Web!D"&amp;SUM(18,38*37,12))))</f>
        <v>N/D</v>
      </c>
      <c r="BV31" s="215" t="str" cm="1">
        <f t="array" aca="1" ref="BV31" ca="1">IF($B31="","",IF(ISBLANK(INDIRECT("R9.Web!D"&amp;SUM(18,38*38,12))),"",INDIRECT("R9.Web!D"&amp;SUM(18,38*38,12))))</f>
        <v>N/D</v>
      </c>
      <c r="BW31" s="215" t="str" cm="1">
        <f t="array" aca="1" ref="BW31" ca="1">IF($B31="","",IF(ISBLANK(INDIRECT("R9.Web!D"&amp;SUM(18,38*39,12))),"",INDIRECT("R9.Web!D"&amp;SUM(18,38*39,12))))</f>
        <v>N/D</v>
      </c>
      <c r="BX31" s="215" t="str" cm="1">
        <f t="array" aca="1" ref="BX31" ca="1">IF($B31="","",IF(ISBLANK(INDIRECT("R9.Web!D"&amp;SUM(18,38*40,12))),"",INDIRECT("R9.Web!D"&amp;SUM(18,38*40,12))))</f>
        <v>N/D</v>
      </c>
      <c r="BY31" s="215" t="str" cm="1">
        <f t="array" aca="1" ref="BY31" ca="1">IF($B31="","",IF(ISBLANK(INDIRECT("R9.Web!D"&amp;SUM(18,38*41,12))),"",INDIRECT("R9.Web!D"&amp;SUM(18,38*41,12))))</f>
        <v>N/T</v>
      </c>
      <c r="BZ31" s="215" t="str" cm="1">
        <f t="array" aca="1" ref="BZ31" ca="1">IF($B31="","",IF(ISBLANK(INDIRECT("R9.Web!D"&amp;SUM(18,38*42,12))),"",INDIRECT("R9.Web!D"&amp;SUM(18,38*42,12))))</f>
        <v>N/T</v>
      </c>
      <c r="CA31" s="215" t="str" cm="1">
        <f t="array" aca="1" ref="CA31" ca="1">IF($B31="","",IF(ISBLANK(INDIRECT("R9.Web!D"&amp;SUM(18,38*43,12))),"",INDIRECT("R9.Web!D"&amp;SUM(18,38*43,12))))</f>
        <v>N/D</v>
      </c>
      <c r="CB31" s="215" t="str" cm="1">
        <f t="array" aca="1" ref="CB31" ca="1">IF($B31="","",IF(ISBLANK(INDIRECT("R9.Web!D"&amp;SUM(18,38*44,12))),"",INDIRECT("R9.Web!D"&amp;SUM(18,38*44,12))))</f>
        <v>N/T</v>
      </c>
      <c r="CC31" s="215" t="str" cm="1">
        <f t="array" aca="1" ref="CC31" ca="1">IF($B31="","",IF(ISBLANK(INDIRECT("R9.Web!D"&amp;SUM(18,38*45,12))),"",INDIRECT("R9.Web!D"&amp;SUM(18,38*45,12))))</f>
        <v>N/T</v>
      </c>
      <c r="CD31" s="215" t="str" cm="1">
        <f t="array" aca="1" ref="CD31" ca="1">IF($B31="","",IF(ISBLANK(INDIRECT("R9.Web!D"&amp;SUM(18,38*46,12))),"",INDIRECT("R9.Web!D"&amp;SUM(18,38*46,12))))</f>
        <v>N/T</v>
      </c>
      <c r="CE31" s="215" t="str" cm="1">
        <f t="array" aca="1" ref="CE31" ca="1">IF($B31="","",IF(ISBLANK(INDIRECT("R9.Web!D"&amp;SUM(18,38*47,12))),"",INDIRECT("R9.Web!D"&amp;SUM(18,38*47,12))))</f>
        <v>N/D</v>
      </c>
      <c r="CF31" s="215" t="str" cm="1">
        <f t="array" aca="1" ref="CF31" ca="1">IF($B31="","",IF(ISBLANK(INDIRECT("R9.Web!D"&amp;SUM(18,38*48,12))),"",INDIRECT("R9.Web!D"&amp;SUM(18,38*48,12))))</f>
        <v>N/T</v>
      </c>
      <c r="CG31" s="215" t="str" cm="1">
        <f t="array" aca="1" ref="CG31" ca="1">IF($B31="","",IF(ISBLANK(INDIRECT("R9.Web!D"&amp;SUM(18,38*49,12))),"",INDIRECT("R9.Web!D"&amp;SUM(18,38*49,12))))</f>
        <v>N/T</v>
      </c>
      <c r="CH31" s="215" t="str" cm="1">
        <f t="array" aca="1" ref="CH31" ca="1">IF($B31="","",IF(ISBLANK(INDIRECT("R11.Software!D"&amp;SUM(18,38*0,12))),"",INDIRECT("R11.Software!D"&amp;SUM(18,38*0,12))))</f>
        <v>N/T</v>
      </c>
      <c r="CI31" s="215" t="str" cm="1">
        <f t="array" aca="1" ref="CI31" ca="1">IF($B31="","",IF(ISBLANK(INDIRECT("R11.Software!D"&amp;SUM(18,38*1,12))),"",INDIRECT("R11.Software!D"&amp;SUM(18,38*1,12))))</f>
        <v>N/T</v>
      </c>
      <c r="CJ31" s="215" t="str" cm="1">
        <f t="array" aca="1" ref="CJ31" ca="1">IF($B31="","",IF(ISBLANK(INDIRECT("R11.Software!D"&amp;SUM(18,38*2,12))),"",INDIRECT("R11.Software!D"&amp;SUM(18,38*2,12))))</f>
        <v>N/T</v>
      </c>
      <c r="CK31" s="215" t="str" cm="1">
        <f t="array" aca="1" ref="CK31" ca="1">IF($B31="","",IF(ISBLANK(INDIRECT("R11.Software!D"&amp;SUM(18,38*3,12))),"",INDIRECT("R11.Software!D"&amp;SUM(18,38*3,12))))</f>
        <v>N/T</v>
      </c>
      <c r="CL31" s="215" t="str" cm="1">
        <f t="array" aca="1" ref="CL31" ca="1">IF($B31="","",IF(ISBLANK(INDIRECT("R11.Software!D"&amp;SUM(18,38*4,12))),"",INDIRECT("R11.Software!D"&amp;SUM(18,38*4,12))))</f>
        <v>N/T</v>
      </c>
      <c r="CM31" s="215" t="str" cm="1">
        <f t="array" aca="1" ref="CM31" ca="1">IF($B31="","",IF(ISBLANK(INDIRECT("R11.Software!D"&amp;SUM(18,38*5,12))),"",INDIRECT("R11.Software!D"&amp;SUM(18,38*5,12))))</f>
        <v>N/T</v>
      </c>
      <c r="CN31" s="215" t="str" cm="1">
        <f t="array" aca="1" ref="CN31" ca="1">IF($B31="","",IF(ISBLANK(INDIRECT("R12.ServiciosApoyo!D"&amp;SUM(18,38*0,12))),"",INDIRECT("R12.ServiciosApoyo!D"&amp;SUM(18,38*0,12))))</f>
        <v>N/T</v>
      </c>
      <c r="CO31" s="215" t="str" cm="1">
        <f t="array" aca="1" ref="CO31" ca="1">IF($B31="","",IF(ISBLANK(INDIRECT("R12.ServiciosApoyo!D"&amp;SUM(18,38*1,12))),"",INDIRECT("R12.ServiciosApoyo!D"&amp;SUM(18,38*1,12))))</f>
        <v>N/T</v>
      </c>
      <c r="CP31" s="215" t="str" cm="1">
        <f t="array" aca="1" ref="CP31" ca="1">IF($B31="","",IF(ISBLANK(INDIRECT("R12.ServiciosApoyo!D"&amp;SUM(18,38*2,12))),"",INDIRECT("R12.ServiciosApoyo!D"&amp;SUM(18,38*2,12))))</f>
        <v>N/T</v>
      </c>
      <c r="CQ31" s="215" t="str" cm="1">
        <f t="array" aca="1" ref="CQ31" ca="1">IF($B31="","",IF(ISBLANK(INDIRECT("R12.ServiciosApoyo!D"&amp;SUM(18,38*3,12))),"",INDIRECT("R12.ServiciosApoyo!D"&amp;SUM(18,38*3,12))))</f>
        <v>N/T</v>
      </c>
      <c r="CR31" s="215" t="str" cm="1">
        <f t="array" aca="1" ref="CR31" ca="1">IF($B31="","",IF(ISBLANK(INDIRECT("R12.ServiciosApoyo!D"&amp;SUM(18,38*4,12))),"",INDIRECT("R12.ServiciosApoyo!D"&amp;SUM(18,38*4,12))))</f>
        <v>N/T</v>
      </c>
      <c r="CU31" s="100"/>
      <c r="CV31" s="29"/>
      <c r="CW31" s="29"/>
      <c r="CX31" s="29"/>
    </row>
    <row r="32" spans="2:102" ht="20.25">
      <c r="B32" s="181" t="n" cm="1">
        <f t="array" ref="B32">IFERROR(INDEX('03.Muestra'!$B$8:$B$42,SMALL(IF("Página Web"='03.Muestra'!$D$8:$D$42,ROW('03.Muestra'!$B$8:$B$42)-MIN(ROW('03.Muestra'!$D$8:$D$42))+1,""),ROW()-19)),"")</f>
        <v>1.0</v>
      </c>
      <c r="C32" s="97" t="str" cm="1">
        <f t="array" ref="C32">IFERROR(INDEX('03.Muestra'!$C$8:$C$42,SMALL(IF("Página Web"='03.Muestra'!$D$8:$D$42,ROW('03.Muestra'!$C$8:$C$42)-MIN(ROW('03.Muestra'!$D$8:$D$42))+1,""),ROW()-19)),"")</f>
        <v>Home - PortCastelló</v>
      </c>
      <c r="D32" s="98" t="str" cm="1">
        <f t="array" ref="D32">IFERROR(INDEX('03.Muestra'!$F$8:$F$42,SMALL(IF("Página Web"='03.Muestra'!$D$8:$D$42,ROW('03.Muestra'!$F$8:$F$42)-MIN(ROW('03.Muestra'!$D$8:$D$42))+1,""),ROW()-19)),"")</f>
        <v>https://www.portcastello.com/</v>
      </c>
      <c r="E32" s="215" t="str" cm="1">
        <f t="array" aca="1" ref="E32" ca="1">IF($B32="","",IF(ISBLANK(INDIRECT("R5.Genéricos!D"&amp;SUM(18,38*0,13))),"",INDIRECT("R5.Genéricos!D"&amp;SUM(18,38*0,13))))</f>
        <v>N/T</v>
      </c>
      <c r="F32" s="215" t="str" cm="1">
        <f t="array" aca="1" ref="F32" ca="1">IF($B32="","",IF(ISBLANK(INDIRECT("R5.Genéricos!D"&amp;SUM(18,38*1,13))),"",INDIRECT("R5.Genéricos!D"&amp;SUM(18,38*1,13))))</f>
        <v>N/T</v>
      </c>
      <c r="G32" s="215" t="str" cm="1">
        <f t="array" aca="1" ref="G32" ca="1">IF($B32="","",IF(ISBLANK(INDIRECT("R5.Genéricos!D"&amp;SUM(18,38*2,13))),"",INDIRECT("R5.Genéricos!D"&amp;SUM(18,38*2,13))))</f>
        <v>N/T</v>
      </c>
      <c r="H32" s="215" t="str" cm="1">
        <f t="array" aca="1" ref="H32" ca="1">IF($B32="","",IF(ISBLANK(INDIRECT("R6.Voz!D"&amp;SUM(18,38*0,13))),"",INDIRECT("R6.Voz!D"&amp;SUM(18,38*0,13))))</f>
        <v>N/T</v>
      </c>
      <c r="I32" s="215" t="str" cm="1">
        <f t="array" aca="1" ref="I32" ca="1">IF($B32="","",IF(ISBLANK(INDIRECT("R6.Voz!D"&amp;SUM(18,38*1,13))),"",INDIRECT("R6.Voz!D"&amp;SUM(18,38*1,13))))</f>
        <v>N/T</v>
      </c>
      <c r="J32" s="215" t="str" cm="1">
        <f t="array" aca="1" ref="J32" ca="1">IF($B32="","",IF(ISBLANK(INDIRECT("R6.Voz!D"&amp;SUM(18,38*2,13))),"",INDIRECT("R6.Voz!D"&amp;SUM(18,38*2,13))))</f>
        <v>N/T</v>
      </c>
      <c r="K32" s="215" t="str" cm="1">
        <f t="array" aca="1" ref="K32" ca="1">IF($B32="","",IF(ISBLANK(INDIRECT("R6.Voz!D"&amp;SUM(18,38*3,13))),"",INDIRECT("R6.Voz!D"&amp;SUM(18,38*3,13))))</f>
        <v>N/T</v>
      </c>
      <c r="L32" s="215" t="str" cm="1">
        <f t="array" aca="1" ref="L32" ca="1">IF($B32="","",IF(ISBLANK(INDIRECT("R6.Voz!D"&amp;SUM(18,38*4,13))),"",INDIRECT("R6.Voz!D"&amp;SUM(18,38*4,13))))</f>
        <v>N/T</v>
      </c>
      <c r="M32" s="215" t="str" cm="1">
        <f t="array" aca="1" ref="M32" ca="1">IF($B32="","",IF(ISBLANK(INDIRECT("R6.Voz!D"&amp;SUM(18,38*5,13))),"",INDIRECT("R6.Voz!D"&amp;SUM(18,38*5,13))))</f>
        <v>N/T</v>
      </c>
      <c r="N32" s="215" t="str" cm="1">
        <f t="array" aca="1" ref="N32" ca="1">IF($B32="","",IF(ISBLANK(INDIRECT("R6.Voz!D"&amp;SUM(18,38*6,13))),"",INDIRECT("R6.Voz!D"&amp;SUM(18,38*6,13))))</f>
        <v>N/T</v>
      </c>
      <c r="O32" s="215" t="str" cm="1">
        <f t="array" aca="1" ref="O32" ca="1">IF($B32="","",IF(ISBLANK(INDIRECT("R6.Voz!D"&amp;SUM(18,38*7,13))),"",INDIRECT("R6.Voz!D"&amp;SUM(18,38*7,13))))</f>
        <v>N/T</v>
      </c>
      <c r="P32" s="215" t="str" cm="1">
        <f t="array" aca="1" ref="P32" ca="1">IF($B32="","",IF(ISBLANK(INDIRECT("R6.Voz!D"&amp;SUM(18,38*8,13))),"",INDIRECT("R6.Voz!D"&amp;SUM(18,38*8,13))))</f>
        <v>N/T</v>
      </c>
      <c r="Q32" s="215" t="str" cm="1">
        <f t="array" aca="1" ref="Q32" ca="1">IF($B32="","",IF(ISBLANK(INDIRECT("R6.Voz!D"&amp;SUM(18,38*9,13))),"",INDIRECT("R6.Voz!D"&amp;SUM(18,38*9,13))))</f>
        <v>N/T</v>
      </c>
      <c r="R32" s="215" t="str" cm="1">
        <f t="array" aca="1" ref="R32" ca="1">IF($B32="","",IF(ISBLANK(INDIRECT("R6.Voz!D"&amp;SUM(18,38*10,13))),"",INDIRECT("R6.Voz!D"&amp;SUM(18,38*10,13))))</f>
        <v>N/T</v>
      </c>
      <c r="S32" s="215" t="str" cm="1">
        <f t="array" aca="1" ref="S32" ca="1">IF($B32="","",IF(ISBLANK(INDIRECT("R6.Voz!D"&amp;SUM(18,38*11,13))),"",INDIRECT("R6.Voz!D"&amp;SUM(18,38*11,13))))</f>
        <v>N/T</v>
      </c>
      <c r="T32" s="215" t="str" cm="1">
        <f t="array" aca="1" ref="T32" ca="1">IF($B32="","",IF(ISBLANK(INDIRECT("R6.Voz!D"&amp;SUM(18,38*12,13))),"",INDIRECT("R6.Voz!D"&amp;SUM(18,38*12,13))))</f>
        <v>N/T</v>
      </c>
      <c r="U32" s="215" t="str" cm="1">
        <f t="array" aca="1" ref="U32" ca="1">IF($B32="","",IF(ISBLANK(INDIRECT("R6.Voz!D"&amp;SUM(18,38*13,13))),"",INDIRECT("R6.Voz!D"&amp;SUM(18,38*13,13))))</f>
        <v>N/T</v>
      </c>
      <c r="V32" s="215" t="str" cm="1">
        <f t="array" aca="1" ref="V32" ca="1">IF($B32="","",IF(ISBLANK(INDIRECT("R6.Voz!D"&amp;SUM(18,38*14,13))),"",INDIRECT("R6.Voz!D"&amp;SUM(18,38*14,13))))</f>
        <v>N/T</v>
      </c>
      <c r="W32" s="215" t="str" cm="1">
        <f t="array" aca="1" ref="W32" ca="1">IF($B32="","",IF(ISBLANK(INDIRECT("R6.Voz!D"&amp;SUM(18,38*15,13))),"",INDIRECT("R6.Voz!D"&amp;SUM(18,38*15,13))))</f>
        <v>N/T</v>
      </c>
      <c r="X32" s="215" t="str" cm="1">
        <f t="array" aca="1" ref="X32" ca="1">IF($B32="","",IF(ISBLANK(INDIRECT("R6.Voz!D"&amp;SUM(18,38*16,13))),"",INDIRECT("R6.Voz!D"&amp;SUM(18,38*16,13))))</f>
        <v>N/T</v>
      </c>
      <c r="Y32" s="215" t="str" cm="1">
        <f t="array" aca="1" ref="Y32" ca="1">IF($B32="","",IF(ISBLANK(INDIRECT("R6.Voz!D"&amp;SUM(18,38*17,13))),"",INDIRECT("R6.Voz!D"&amp;SUM(18,38*17,13))))</f>
        <v>N/T</v>
      </c>
      <c r="Z32" s="215" t="str" cm="1">
        <f t="array" aca="1" ref="Z32" ca="1">IF($B32="","",IF(ISBLANK(INDIRECT("R6.Voz!D"&amp;SUM(18,38*18,13))),"",INDIRECT("R6.Voz!D"&amp;SUM(18,38*18,13))))</f>
        <v>N/T</v>
      </c>
      <c r="AA32" s="215" t="str" cm="1">
        <f t="array" aca="1" ref="AA32" ca="1">IF($B32="","",IF(ISBLANK(INDIRECT("R7.Video!D"&amp;SUM(18,38*0,13))),"",INDIRECT("R7.Video!D"&amp;SUM(18,38*0,13))))</f>
        <v>N/T</v>
      </c>
      <c r="AB32" s="215" t="str" cm="1">
        <f t="array" aca="1" ref="AB32" ca="1">IF($B32="","",IF(ISBLANK(INDIRECT("R7.Video!D"&amp;SUM(18,38*1,13))),"",INDIRECT("R7.Video!D"&amp;SUM(18,38*1,13))))</f>
        <v>N/T</v>
      </c>
      <c r="AC32" s="215" t="str" cm="1">
        <f t="array" aca="1" ref="AC32" ca="1">IF($B32="","",IF(ISBLANK(INDIRECT("R7.Video!D"&amp;SUM(18,38*2,13))),"",INDIRECT("R7.Video!D"&amp;SUM(18,38*2,13))))</f>
        <v>N/T</v>
      </c>
      <c r="AD32" s="215" t="str" cm="1">
        <f t="array" aca="1" ref="AD32" ca="1">IF($B32="","",IF(ISBLANK(INDIRECT("R7.Video!D"&amp;SUM(18,38*3,13))),"",INDIRECT("R7.Video!D"&amp;SUM(18,38*3,13))))</f>
        <v>N/T</v>
      </c>
      <c r="AE32" s="215" t="str" cm="1">
        <f t="array" aca="1" ref="AE32" ca="1">IF($B32="","",IF(ISBLANK(INDIRECT("R7.Video!D"&amp;SUM(18,38*4,13))),"",INDIRECT("R7.Video!D"&amp;SUM(18,38*4,13))))</f>
        <v>N/T</v>
      </c>
      <c r="AF32" s="215" t="str" cm="1">
        <f t="array" aca="1" ref="AF32" ca="1">IF($B32="","",IF(ISBLANK(INDIRECT("R7.Video!D"&amp;SUM(18,38*5,13))),"",INDIRECT("R7.Video!D"&amp;SUM(18,38*5,13))))</f>
        <v>N/T</v>
      </c>
      <c r="AG32" s="215" t="str" cm="1">
        <f t="array" aca="1" ref="AG32" ca="1">IF($B32="","",IF(ISBLANK(INDIRECT("R7.Video!D"&amp;SUM(18,38*6,13))),"",INDIRECT("R7.Video!D"&amp;SUM(18,38*6,13))))</f>
        <v>N/T</v>
      </c>
      <c r="AH32" s="215" t="str" cm="1">
        <f t="array" aca="1" ref="AH32" ca="1">IF($B32="","",IF(ISBLANK(INDIRECT("R7.Video!D"&amp;SUM(18,38*7,13))),"",INDIRECT("R7.Video!D"&amp;SUM(18,38*7,13))))</f>
        <v>N/T</v>
      </c>
      <c r="AI32" s="215" t="str" cm="1">
        <f t="array" aca="1" ref="AI32" ca="1">IF($B32="","",IF(ISBLANK(INDIRECT("R7.Video!D"&amp;SUM(18,38*8,13))),"",INDIRECT("R7.Video!D"&amp;SUM(18,38*8,13))))</f>
        <v>N/T</v>
      </c>
      <c r="AJ32" s="215" t="str" cm="1">
        <f t="array" aca="1" ref="AJ32" ca="1">IF($B32="","",IF(ISBLANK(INDIRECT("R9.Web!D"&amp;SUM(18,38*0,13))),"",INDIRECT("R9.Web!D"&amp;SUM(18,38*0,13))))</f>
        <v>N/D</v>
      </c>
      <c r="AK32" s="215" t="str" cm="1">
        <f t="array" aca="1" ref="AK32" ca="1">IF($B32="","",IF(ISBLANK(INDIRECT("R9.Web!D"&amp;SUM(18,38*1,13))),"",INDIRECT("R9.Web!D"&amp;SUM(18,38*1,13))))</f>
        <v>N/T</v>
      </c>
      <c r="AL32" s="215" t="str" cm="1">
        <f t="array" aca="1" ref="AL32" ca="1">IF($B32="","",IF(ISBLANK(INDIRECT("R9.Web!D"&amp;SUM(18,38*2,13))),"",INDIRECT("R9.Web!D"&amp;SUM(18,38*2,13))))</f>
        <v>N/T</v>
      </c>
      <c r="AM32" s="215" t="str" cm="1">
        <f t="array" aca="1" ref="AM32" ca="1">IF($B32="","",IF(ISBLANK(INDIRECT("R9.Web!D"&amp;SUM(18,38*3,13))),"",INDIRECT("R9.Web!D"&amp;SUM(18,38*3,13))))</f>
        <v>N/T</v>
      </c>
      <c r="AN32" s="215" t="str" cm="1">
        <f t="array" aca="1" ref="AN32" ca="1">IF($B32="","",IF(ISBLANK(INDIRECT("R9.Web!D"&amp;SUM(18,38*4,13))),"",INDIRECT("R9.Web!D"&amp;SUM(18,38*4,13))))</f>
        <v>N/T</v>
      </c>
      <c r="AO32" s="215" t="str" cm="1">
        <f t="array" aca="1" ref="AO32" ca="1">IF($B32="","",IF(ISBLANK(INDIRECT("R9.Web!D"&amp;SUM(18,38*5,13))),"",INDIRECT("R9.Web!D"&amp;SUM(18,38*5,13))))</f>
        <v>N/D</v>
      </c>
      <c r="AP32" s="215" t="str" cm="1">
        <f t="array" aca="1" ref="AP32" ca="1">IF($B32="","",IF(ISBLANK(INDIRECT("R9.Web!D"&amp;SUM(18,38*6,13))),"",INDIRECT("R9.Web!D"&amp;SUM(18,38*6,13))))</f>
        <v>N/T</v>
      </c>
      <c r="AQ32" s="215" t="str" cm="1">
        <f t="array" aca="1" ref="AQ32" ca="1">IF($B32="","",IF(ISBLANK(INDIRECT("R9.Web!D"&amp;SUM(18,38*7,13))),"",INDIRECT("R9.Web!D"&amp;SUM(18,38*7,13))))</f>
        <v>N/T</v>
      </c>
      <c r="AR32" s="215" t="str" cm="1">
        <f t="array" aca="1" ref="AR32" ca="1">IF($B32="","",IF(ISBLANK(INDIRECT("R9.Web!D"&amp;SUM(18,38*8,13))),"",INDIRECT("R9.Web!D"&amp;SUM(18,38*8,13))))</f>
        <v>N/D</v>
      </c>
      <c r="AS32" s="215" t="str" cm="1">
        <f t="array" aca="1" ref="AS32" ca="1">IF($B32="","",IF(ISBLANK(INDIRECT("R9.Web!D"&amp;SUM(18,38*9,13))),"",INDIRECT("R9.Web!D"&amp;SUM(18,38*9,13))))</f>
        <v>N/D</v>
      </c>
      <c r="AT32" s="215" t="str" cm="1">
        <f t="array" aca="1" ref="AT32" ca="1">IF($B32="","",IF(ISBLANK(INDIRECT("R9.Web!D"&amp;SUM(18,38*10,13))),"",INDIRECT("R9.Web!D"&amp;SUM(18,38*10,13))))</f>
        <v>N/T</v>
      </c>
      <c r="AU32" s="215" t="str" cm="1">
        <f t="array" aca="1" ref="AU32" ca="1">IF($B32="","",IF(ISBLANK(INDIRECT("R9.Web!D"&amp;SUM(18,38*11,13))),"",INDIRECT("R9.Web!D"&amp;SUM(18,38*11,13))))</f>
        <v>N/T</v>
      </c>
      <c r="AV32" s="215" t="str" cm="1">
        <f t="array" aca="1" ref="AV32" ca="1">IF($B32="","",IF(ISBLANK(INDIRECT("R9.Web!D"&amp;SUM(18,38*12,13))),"",INDIRECT("R9.Web!D"&amp;SUM(18,38*12,13))))</f>
        <v>N/D</v>
      </c>
      <c r="AW32" s="215" t="str" cm="1">
        <f t="array" aca="1" ref="AW32" ca="1">IF($B32="","",IF(ISBLANK(INDIRECT("R9.Web!D"&amp;SUM(18,38*13,13))),"",INDIRECT("R9.Web!D"&amp;SUM(18,38*13,13))))</f>
        <v>N/T</v>
      </c>
      <c r="AX32" s="215" t="str" cm="1">
        <f t="array" aca="1" ref="AX32" ca="1">IF($B32="","",IF(ISBLANK(INDIRECT("R9.Web!D"&amp;SUM(18,38*14,13))),"",INDIRECT("R9.Web!D"&amp;SUM(18,38*14,13))))</f>
        <v>N/T</v>
      </c>
      <c r="AY32" s="215" t="str" cm="1">
        <f t="array" aca="1" ref="AY32" ca="1">IF($B32="","",IF(ISBLANK(INDIRECT("R9.Web!D"&amp;SUM(18,38*15,13))),"",INDIRECT("R9.Web!D"&amp;SUM(18,38*15,13))))</f>
        <v>N/D</v>
      </c>
      <c r="AZ32" s="215" t="str" cm="1">
        <f t="array" aca="1" ref="AZ32" ca="1">IF($B32="","",IF(ISBLANK(INDIRECT("R9.Web!D"&amp;SUM(18,38*16,13))),"",INDIRECT("R9.Web!D"&amp;SUM(18,38*16,13))))</f>
        <v>N/T</v>
      </c>
      <c r="BA32" s="215" t="str" cm="1">
        <f t="array" aca="1" ref="BA32" ca="1">IF($B32="","",IF(ISBLANK(INDIRECT("R9.Web!D"&amp;SUM(18,38*17,13))),"",INDIRECT("R9.Web!D"&amp;SUM(18,38*17,13))))</f>
        <v>N/D</v>
      </c>
      <c r="BB32" s="215" t="str" cm="1">
        <f t="array" aca="1" ref="BB32" ca="1">IF($B32="","",IF(ISBLANK(INDIRECT("R9.Web!D"&amp;SUM(18,38*18,13))),"",INDIRECT("R9.Web!D"&amp;SUM(18,38*18,13))))</f>
        <v>N/T</v>
      </c>
      <c r="BC32" s="215" t="str" cm="1">
        <f t="array" aca="1" ref="BC32" ca="1">IF($B32="","",IF(ISBLANK(INDIRECT("R9.Web!D"&amp;SUM(18,38*19,13))),"",INDIRECT("R9.Web!D"&amp;SUM(18,38*19,13))))</f>
        <v>N/D</v>
      </c>
      <c r="BD32" s="215" t="str" cm="1">
        <f t="array" aca="1" ref="BD32" ca="1">IF($B32="","",IF(ISBLANK(INDIRECT("R9.Web!D"&amp;SUM(18,38*20,13))),"",INDIRECT("R9.Web!D"&amp;SUM(18,38*20,13))))</f>
        <v>N/T</v>
      </c>
      <c r="BE32" s="215" t="str" cm="1">
        <f t="array" aca="1" ref="BE32" ca="1">IF($B32="","",IF(ISBLANK(INDIRECT("R9.Web!D"&amp;SUM(18,38*21,13))),"",INDIRECT("R9.Web!D"&amp;SUM(18,38*21,13))))</f>
        <v>N/T</v>
      </c>
      <c r="BF32" s="215" t="str" cm="1">
        <f t="array" aca="1" ref="BF32" ca="1">IF($B32="","",IF(ISBLANK(INDIRECT("R9.Web!D"&amp;SUM(18,38*22,13))),"",INDIRECT("R9.Web!D"&amp;SUM(18,38*22,13))))</f>
        <v>N/D</v>
      </c>
      <c r="BG32" s="215" t="str" cm="1">
        <f t="array" aca="1" ref="BG32" ca="1">IF($B32="","",IF(ISBLANK(INDIRECT("R9.Web!D"&amp;SUM(18,38*23,13))),"",INDIRECT("R9.Web!D"&amp;SUM(18,38*23,13))))</f>
        <v>N/D</v>
      </c>
      <c r="BH32" s="215" t="str" cm="1">
        <f t="array" aca="1" ref="BH32" ca="1">IF($B32="","",IF(ISBLANK(INDIRECT("R9.Web!D"&amp;SUM(18,38*24,13))),"",INDIRECT("R9.Web!D"&amp;SUM(18,38*24,13))))</f>
        <v>N/T</v>
      </c>
      <c r="BI32" s="215" t="str" cm="1">
        <f t="array" aca="1" ref="BI32" ca="1">IF($B32="","",IF(ISBLANK(INDIRECT("R9.Web!D"&amp;SUM(18,38*25,13))),"",INDIRECT("R9.Web!D"&amp;SUM(18,38*25,13))))</f>
        <v>N/D</v>
      </c>
      <c r="BJ32" s="215" t="str" cm="1">
        <f t="array" aca="1" ref="BJ32" ca="1">IF($B32="","",IF(ISBLANK(INDIRECT("R9.Web!D"&amp;SUM(18,38*26,13))),"",INDIRECT("R9.Web!D"&amp;SUM(18,38*26,13))))</f>
        <v>N/D</v>
      </c>
      <c r="BK32" s="215" t="str" cm="1">
        <f t="array" aca="1" ref="BK32" ca="1">IF($B32="","",IF(ISBLANK(INDIRECT("R9.Web!D"&amp;SUM(18,38*27,13))),"",INDIRECT("R9.Web!D"&amp;SUM(18,38*27,13))))</f>
        <v>N/D</v>
      </c>
      <c r="BL32" s="215" t="str" cm="1">
        <f t="array" aca="1" ref="BL32" ca="1">IF($B32="","",IF(ISBLANK(INDIRECT("R9.Web!D"&amp;SUM(18,38*28,13))),"",INDIRECT("R9.Web!D"&amp;SUM(18,38*28,13))))</f>
        <v>N/D</v>
      </c>
      <c r="BM32" s="215" t="str" cm="1">
        <f t="array" aca="1" ref="BM32" ca="1">IF($B32="","",IF(ISBLANK(INDIRECT("R9.Web!D"&amp;SUM(18,38*29,13))),"",INDIRECT("R9.Web!D"&amp;SUM(18,38*29,13))))</f>
        <v>N/D</v>
      </c>
      <c r="BN32" s="215" t="str" cm="1">
        <f t="array" aca="1" ref="BN32" ca="1">IF($B32="","",IF(ISBLANK(INDIRECT("R9.Web!D"&amp;SUM(18,38*30,13))),"",INDIRECT("R9.Web!D"&amp;SUM(18,38*30,13))))</f>
        <v>N/T</v>
      </c>
      <c r="BO32" s="215" t="str" cm="1">
        <f t="array" aca="1" ref="BO32" ca="1">IF($B32="","",IF(ISBLANK(INDIRECT("R9.Web!D"&amp;SUM(18,38*31,13))),"",INDIRECT("R9.Web!D"&amp;SUM(18,38*31,13))))</f>
        <v>N/D</v>
      </c>
      <c r="BP32" s="215" t="str" cm="1">
        <f t="array" aca="1" ref="BP32" ca="1">IF($B32="","",IF(ISBLANK(INDIRECT("R9.Web!D"&amp;SUM(18,38*32,13))),"",INDIRECT("R9.Web!D"&amp;SUM(18,38*32,13))))</f>
        <v>N/T</v>
      </c>
      <c r="BQ32" s="215" t="str" cm="1">
        <f t="array" aca="1" ref="BQ32" ca="1">IF($B32="","",IF(ISBLANK(INDIRECT("R9.Web!D"&amp;SUM(18,38*33,13))),"",INDIRECT("R9.Web!D"&amp;SUM(18,38*33,13))))</f>
        <v>N/T</v>
      </c>
      <c r="BR32" s="215" t="str" cm="1">
        <f t="array" aca="1" ref="BR32" ca="1">IF($B32="","",IF(ISBLANK(INDIRECT("R9.Web!D"&amp;SUM(18,38*34,13))),"",INDIRECT("R9.Web!D"&amp;SUM(18,38*34,13))))</f>
        <v>N/D</v>
      </c>
      <c r="BS32" s="215" t="str" cm="1">
        <f t="array" aca="1" ref="BS32" ca="1">IF($B32="","",IF(ISBLANK(INDIRECT("R9.Web!D"&amp;SUM(18,38*35,13))),"",INDIRECT("R9.Web!D"&amp;SUM(18,38*35,13))))</f>
        <v>N/T</v>
      </c>
      <c r="BT32" s="215" t="str" cm="1">
        <f t="array" aca="1" ref="BT32" ca="1">IF($B32="","",IF(ISBLANK(INDIRECT("R9.Web!D"&amp;SUM(18,38*36,13))),"",INDIRECT("R9.Web!D"&amp;SUM(18,38*36,13))))</f>
        <v>N/D</v>
      </c>
      <c r="BU32" s="215" t="str" cm="1">
        <f t="array" aca="1" ref="BU32" ca="1">IF($B32="","",IF(ISBLANK(INDIRECT("R9.Web!D"&amp;SUM(18,38*37,13))),"",INDIRECT("R9.Web!D"&amp;SUM(18,38*37,13))))</f>
        <v>N/D</v>
      </c>
      <c r="BV32" s="215" t="str" cm="1">
        <f t="array" aca="1" ref="BV32" ca="1">IF($B32="","",IF(ISBLANK(INDIRECT("R9.Web!D"&amp;SUM(18,38*38,13))),"",INDIRECT("R9.Web!D"&amp;SUM(18,38*38,13))))</f>
        <v>N/D</v>
      </c>
      <c r="BW32" s="215" t="str" cm="1">
        <f t="array" aca="1" ref="BW32" ca="1">IF($B32="","",IF(ISBLANK(INDIRECT("R9.Web!D"&amp;SUM(18,38*39,13))),"",INDIRECT("R9.Web!D"&amp;SUM(18,38*39,13))))</f>
        <v>N/D</v>
      </c>
      <c r="BX32" s="215" t="str" cm="1">
        <f t="array" aca="1" ref="BX32" ca="1">IF($B32="","",IF(ISBLANK(INDIRECT("R9.Web!D"&amp;SUM(18,38*40,13))),"",INDIRECT("R9.Web!D"&amp;SUM(18,38*40,13))))</f>
        <v>N/D</v>
      </c>
      <c r="BY32" s="215" t="str" cm="1">
        <f t="array" aca="1" ref="BY32" ca="1">IF($B32="","",IF(ISBLANK(INDIRECT("R9.Web!D"&amp;SUM(18,38*41,13))),"",INDIRECT("R9.Web!D"&amp;SUM(18,38*41,13))))</f>
        <v>N/T</v>
      </c>
      <c r="BZ32" s="215" t="str" cm="1">
        <f t="array" aca="1" ref="BZ32" ca="1">IF($B32="","",IF(ISBLANK(INDIRECT("R9.Web!D"&amp;SUM(18,38*42,13))),"",INDIRECT("R9.Web!D"&amp;SUM(18,38*42,13))))</f>
        <v>N/T</v>
      </c>
      <c r="CA32" s="215" t="str" cm="1">
        <f t="array" aca="1" ref="CA32" ca="1">IF($B32="","",IF(ISBLANK(INDIRECT("R9.Web!D"&amp;SUM(18,38*43,13))),"",INDIRECT("R9.Web!D"&amp;SUM(18,38*43,13))))</f>
        <v>N/D</v>
      </c>
      <c r="CB32" s="215" t="str" cm="1">
        <f t="array" aca="1" ref="CB32" ca="1">IF($B32="","",IF(ISBLANK(INDIRECT("R9.Web!D"&amp;SUM(18,38*44,13))),"",INDIRECT("R9.Web!D"&amp;SUM(18,38*44,13))))</f>
        <v>N/T</v>
      </c>
      <c r="CC32" s="215" t="str" cm="1">
        <f t="array" aca="1" ref="CC32" ca="1">IF($B32="","",IF(ISBLANK(INDIRECT("R9.Web!D"&amp;SUM(18,38*45,13))),"",INDIRECT("R9.Web!D"&amp;SUM(18,38*45,13))))</f>
        <v>N/T</v>
      </c>
      <c r="CD32" s="215" t="str" cm="1">
        <f t="array" aca="1" ref="CD32" ca="1">IF($B32="","",IF(ISBLANK(INDIRECT("R9.Web!D"&amp;SUM(18,38*46,13))),"",INDIRECT("R9.Web!D"&amp;SUM(18,38*46,13))))</f>
        <v>N/T</v>
      </c>
      <c r="CE32" s="215" t="str" cm="1">
        <f t="array" aca="1" ref="CE32" ca="1">IF($B32="","",IF(ISBLANK(INDIRECT("R9.Web!D"&amp;SUM(18,38*47,13))),"",INDIRECT("R9.Web!D"&amp;SUM(18,38*47,13))))</f>
        <v>N/D</v>
      </c>
      <c r="CF32" s="215" t="str" cm="1">
        <f t="array" aca="1" ref="CF32" ca="1">IF($B32="","",IF(ISBLANK(INDIRECT("R9.Web!D"&amp;SUM(18,38*48,13))),"",INDIRECT("R9.Web!D"&amp;SUM(18,38*48,13))))</f>
        <v>N/T</v>
      </c>
      <c r="CG32" s="215" t="str" cm="1">
        <f t="array" aca="1" ref="CG32" ca="1">IF($B32="","",IF(ISBLANK(INDIRECT("R9.Web!D"&amp;SUM(18,38*49,13))),"",INDIRECT("R9.Web!D"&amp;SUM(18,38*49,13))))</f>
        <v>N/T</v>
      </c>
      <c r="CH32" s="215" t="str" cm="1">
        <f t="array" aca="1" ref="CH32" ca="1">IF($B32="","",IF(ISBLANK(INDIRECT("R11.Software!D"&amp;SUM(18,38*0,13))),"",INDIRECT("R11.Software!D"&amp;SUM(18,38*0,13))))</f>
        <v>N/T</v>
      </c>
      <c r="CI32" s="215" t="str" cm="1">
        <f t="array" aca="1" ref="CI32" ca="1">IF($B32="","",IF(ISBLANK(INDIRECT("R11.Software!D"&amp;SUM(18,38*1,13))),"",INDIRECT("R11.Software!D"&amp;SUM(18,38*1,13))))</f>
        <v>N/T</v>
      </c>
      <c r="CJ32" s="215" t="str" cm="1">
        <f t="array" aca="1" ref="CJ32" ca="1">IF($B32="","",IF(ISBLANK(INDIRECT("R11.Software!D"&amp;SUM(18,38*2,13))),"",INDIRECT("R11.Software!D"&amp;SUM(18,38*2,13))))</f>
        <v>N/T</v>
      </c>
      <c r="CK32" s="215" t="str" cm="1">
        <f t="array" aca="1" ref="CK32" ca="1">IF($B32="","",IF(ISBLANK(INDIRECT("R11.Software!D"&amp;SUM(18,38*3,13))),"",INDIRECT("R11.Software!D"&amp;SUM(18,38*3,13))))</f>
        <v>N/T</v>
      </c>
      <c r="CL32" s="215" t="str" cm="1">
        <f t="array" aca="1" ref="CL32" ca="1">IF($B32="","",IF(ISBLANK(INDIRECT("R11.Software!D"&amp;SUM(18,38*4,13))),"",INDIRECT("R11.Software!D"&amp;SUM(18,38*4,13))))</f>
        <v>N/T</v>
      </c>
      <c r="CM32" s="215" t="str" cm="1">
        <f t="array" aca="1" ref="CM32" ca="1">IF($B32="","",IF(ISBLANK(INDIRECT("R11.Software!D"&amp;SUM(18,38*5,13))),"",INDIRECT("R11.Software!D"&amp;SUM(18,38*5,13))))</f>
        <v>N/T</v>
      </c>
      <c r="CN32" s="215" t="str" cm="1">
        <f t="array" aca="1" ref="CN32" ca="1">IF($B32="","",IF(ISBLANK(INDIRECT("R12.ServiciosApoyo!D"&amp;SUM(18,38*0,13))),"",INDIRECT("R12.ServiciosApoyo!D"&amp;SUM(18,38*0,13))))</f>
        <v>N/T</v>
      </c>
      <c r="CO32" s="215" t="str" cm="1">
        <f t="array" aca="1" ref="CO32" ca="1">IF($B32="","",IF(ISBLANK(INDIRECT("R12.ServiciosApoyo!D"&amp;SUM(18,38*1,13))),"",INDIRECT("R12.ServiciosApoyo!D"&amp;SUM(18,38*1,13))))</f>
        <v>N/T</v>
      </c>
      <c r="CP32" s="215" t="str" cm="1">
        <f t="array" aca="1" ref="CP32" ca="1">IF($B32="","",IF(ISBLANK(INDIRECT("R12.ServiciosApoyo!D"&amp;SUM(18,38*2,13))),"",INDIRECT("R12.ServiciosApoyo!D"&amp;SUM(18,38*2,13))))</f>
        <v>N/T</v>
      </c>
      <c r="CQ32" s="215" t="str" cm="1">
        <f t="array" aca="1" ref="CQ32" ca="1">IF($B32="","",IF(ISBLANK(INDIRECT("R12.ServiciosApoyo!D"&amp;SUM(18,38*3,13))),"",INDIRECT("R12.ServiciosApoyo!D"&amp;SUM(18,38*3,13))))</f>
        <v>N/T</v>
      </c>
      <c r="CR32" s="215" t="str" cm="1">
        <f t="array" aca="1" ref="CR32" ca="1">IF($B32="","",IF(ISBLANK(INDIRECT("R12.ServiciosApoyo!D"&amp;SUM(18,38*4,13))),"",INDIRECT("R12.ServiciosApoyo!D"&amp;SUM(18,38*4,13))))</f>
        <v>N/T</v>
      </c>
      <c r="CU32" s="100"/>
      <c r="CV32" s="29"/>
      <c r="CW32" s="29"/>
      <c r="CX32" s="29"/>
    </row>
    <row r="33" spans="2:102" ht="20.25">
      <c r="B33" s="181" t="n" cm="1">
        <f t="array" ref="B33">IFERROR(INDEX('03.Muestra'!$B$8:$B$42,SMALL(IF("Página Web"='03.Muestra'!$D$8:$D$42,ROW('03.Muestra'!$B$8:$B$42)-MIN(ROW('03.Muestra'!$D$8:$D$42))+1,""),ROW()-19)),"")</f>
        <v>1.0</v>
      </c>
      <c r="C33" s="97" t="str" cm="1">
        <f t="array" ref="C33">IFERROR(INDEX('03.Muestra'!$C$8:$C$42,SMALL(IF("Página Web"='03.Muestra'!$D$8:$D$42,ROW('03.Muestra'!$C$8:$C$42)-MIN(ROW('03.Muestra'!$D$8:$D$42))+1,""),ROW()-19)),"")</f>
        <v>Home - PortCastelló</v>
      </c>
      <c r="D33" s="98" t="str" cm="1">
        <f t="array" ref="D33">IFERROR(INDEX('03.Muestra'!$F$8:$F$42,SMALL(IF("Página Web"='03.Muestra'!$D$8:$D$42,ROW('03.Muestra'!$F$8:$F$42)-MIN(ROW('03.Muestra'!$D$8:$D$42))+1,""),ROW()-19)),"")</f>
        <v>https://www.portcastello.com/</v>
      </c>
      <c r="E33" s="215" t="str" cm="1">
        <f t="array" aca="1" ref="E33" ca="1">IF($B33="","",IF(ISBLANK(INDIRECT("R5.Genéricos!D"&amp;SUM(18,38*0,14))),"",INDIRECT("R5.Genéricos!D"&amp;SUM(18,38*0,14))))</f>
        <v>N/T</v>
      </c>
      <c r="F33" s="215" t="str" cm="1">
        <f t="array" aca="1" ref="F33" ca="1">IF($B33="","",IF(ISBLANK(INDIRECT("R5.Genéricos!D"&amp;SUM(18,38*1,14))),"",INDIRECT("R5.Genéricos!D"&amp;SUM(18,38*1,14))))</f>
        <v>N/T</v>
      </c>
      <c r="G33" s="215" t="str" cm="1">
        <f t="array" aca="1" ref="G33" ca="1">IF($B33="","",IF(ISBLANK(INDIRECT("R5.Genéricos!D"&amp;SUM(18,38*2,14))),"",INDIRECT("R5.Genéricos!D"&amp;SUM(18,38*2,14))))</f>
        <v>N/T</v>
      </c>
      <c r="H33" s="215" t="str" cm="1">
        <f t="array" aca="1" ref="H33" ca="1">IF($B33="","",IF(ISBLANK(INDIRECT("R6.Voz!D"&amp;SUM(18,38*0,14))),"",INDIRECT("R6.Voz!D"&amp;SUM(18,38*0,14))))</f>
        <v>N/T</v>
      </c>
      <c r="I33" s="215" t="str" cm="1">
        <f t="array" aca="1" ref="I33" ca="1">IF($B33="","",IF(ISBLANK(INDIRECT("R6.Voz!D"&amp;SUM(18,38*1,14))),"",INDIRECT("R6.Voz!D"&amp;SUM(18,38*1,14))))</f>
        <v>N/T</v>
      </c>
      <c r="J33" s="215" t="str" cm="1">
        <f t="array" aca="1" ref="J33" ca="1">IF($B33="","",IF(ISBLANK(INDIRECT("R6.Voz!D"&amp;SUM(18,38*2,14))),"",INDIRECT("R6.Voz!D"&amp;SUM(18,38*2,14))))</f>
        <v>N/T</v>
      </c>
      <c r="K33" s="215" t="str" cm="1">
        <f t="array" aca="1" ref="K33" ca="1">IF($B33="","",IF(ISBLANK(INDIRECT("R6.Voz!D"&amp;SUM(18,38*3,14))),"",INDIRECT("R6.Voz!D"&amp;SUM(18,38*3,14))))</f>
        <v>N/T</v>
      </c>
      <c r="L33" s="215" t="str" cm="1">
        <f t="array" aca="1" ref="L33" ca="1">IF($B33="","",IF(ISBLANK(INDIRECT("R6.Voz!D"&amp;SUM(18,38*4,14))),"",INDIRECT("R6.Voz!D"&amp;SUM(18,38*4,14))))</f>
        <v>N/T</v>
      </c>
      <c r="M33" s="215" t="str" cm="1">
        <f t="array" aca="1" ref="M33" ca="1">IF($B33="","",IF(ISBLANK(INDIRECT("R6.Voz!D"&amp;SUM(18,38*5,14))),"",INDIRECT("R6.Voz!D"&amp;SUM(18,38*5,14))))</f>
        <v>N/T</v>
      </c>
      <c r="N33" s="215" t="str" cm="1">
        <f t="array" aca="1" ref="N33" ca="1">IF($B33="","",IF(ISBLANK(INDIRECT("R6.Voz!D"&amp;SUM(18,38*6,14))),"",INDIRECT("R6.Voz!D"&amp;SUM(18,38*6,14))))</f>
        <v>N/T</v>
      </c>
      <c r="O33" s="215" t="str" cm="1">
        <f t="array" aca="1" ref="O33" ca="1">IF($B33="","",IF(ISBLANK(INDIRECT("R6.Voz!D"&amp;SUM(18,38*7,14))),"",INDIRECT("R6.Voz!D"&amp;SUM(18,38*7,14))))</f>
        <v>N/T</v>
      </c>
      <c r="P33" s="215" t="str" cm="1">
        <f t="array" aca="1" ref="P33" ca="1">IF($B33="","",IF(ISBLANK(INDIRECT("R6.Voz!D"&amp;SUM(18,38*8,14))),"",INDIRECT("R6.Voz!D"&amp;SUM(18,38*8,14))))</f>
        <v>N/T</v>
      </c>
      <c r="Q33" s="215" t="str" cm="1">
        <f t="array" aca="1" ref="Q33" ca="1">IF($B33="","",IF(ISBLANK(INDIRECT("R6.Voz!D"&amp;SUM(18,38*9,14))),"",INDIRECT("R6.Voz!D"&amp;SUM(18,38*9,14))))</f>
        <v>N/T</v>
      </c>
      <c r="R33" s="215" t="str" cm="1">
        <f t="array" aca="1" ref="R33" ca="1">IF($B33="","",IF(ISBLANK(INDIRECT("R6.Voz!D"&amp;SUM(18,38*10,14))),"",INDIRECT("R6.Voz!D"&amp;SUM(18,38*10,14))))</f>
        <v>N/T</v>
      </c>
      <c r="S33" s="215" t="str" cm="1">
        <f t="array" aca="1" ref="S33" ca="1">IF($B33="","",IF(ISBLANK(INDIRECT("R6.Voz!D"&amp;SUM(18,38*11,14))),"",INDIRECT("R6.Voz!D"&amp;SUM(18,38*11,14))))</f>
        <v>N/T</v>
      </c>
      <c r="T33" s="215" t="str" cm="1">
        <f t="array" aca="1" ref="T33" ca="1">IF($B33="","",IF(ISBLANK(INDIRECT("R6.Voz!D"&amp;SUM(18,38*12,14))),"",INDIRECT("R6.Voz!D"&amp;SUM(18,38*12,14))))</f>
        <v>N/T</v>
      </c>
      <c r="U33" s="215" t="str" cm="1">
        <f t="array" aca="1" ref="U33" ca="1">IF($B33="","",IF(ISBLANK(INDIRECT("R6.Voz!D"&amp;SUM(18,38*13,14))),"",INDIRECT("R6.Voz!D"&amp;SUM(18,38*13,14))))</f>
        <v>N/T</v>
      </c>
      <c r="V33" s="215" t="str" cm="1">
        <f t="array" aca="1" ref="V33" ca="1">IF($B33="","",IF(ISBLANK(INDIRECT("R6.Voz!D"&amp;SUM(18,38*14,14))),"",INDIRECT("R6.Voz!D"&amp;SUM(18,38*14,14))))</f>
        <v>N/T</v>
      </c>
      <c r="W33" s="215" t="str" cm="1">
        <f t="array" aca="1" ref="W33" ca="1">IF($B33="","",IF(ISBLANK(INDIRECT("R6.Voz!D"&amp;SUM(18,38*15,14))),"",INDIRECT("R6.Voz!D"&amp;SUM(18,38*15,14))))</f>
        <v>N/T</v>
      </c>
      <c r="X33" s="215" t="str" cm="1">
        <f t="array" aca="1" ref="X33" ca="1">IF($B33="","",IF(ISBLANK(INDIRECT("R6.Voz!D"&amp;SUM(18,38*16,14))),"",INDIRECT("R6.Voz!D"&amp;SUM(18,38*16,14))))</f>
        <v>N/T</v>
      </c>
      <c r="Y33" s="215" t="str" cm="1">
        <f t="array" aca="1" ref="Y33" ca="1">IF($B33="","",IF(ISBLANK(INDIRECT("R6.Voz!D"&amp;SUM(18,38*17,14))),"",INDIRECT("R6.Voz!D"&amp;SUM(18,38*17,14))))</f>
        <v>N/T</v>
      </c>
      <c r="Z33" s="215" t="str" cm="1">
        <f t="array" aca="1" ref="Z33" ca="1">IF($B33="","",IF(ISBLANK(INDIRECT("R6.Voz!D"&amp;SUM(18,38*18,14))),"",INDIRECT("R6.Voz!D"&amp;SUM(18,38*18,14))))</f>
        <v>N/T</v>
      </c>
      <c r="AA33" s="215" t="str" cm="1">
        <f t="array" aca="1" ref="AA33" ca="1">IF($B33="","",IF(ISBLANK(INDIRECT("R7.Video!D"&amp;SUM(18,38*0,14))),"",INDIRECT("R7.Video!D"&amp;SUM(18,38*0,14))))</f>
        <v>N/T</v>
      </c>
      <c r="AB33" s="215" t="str" cm="1">
        <f t="array" aca="1" ref="AB33" ca="1">IF($B33="","",IF(ISBLANK(INDIRECT("R7.Video!D"&amp;SUM(18,38*1,14))),"",INDIRECT("R7.Video!D"&amp;SUM(18,38*1,14))))</f>
        <v>N/T</v>
      </c>
      <c r="AC33" s="215" t="str" cm="1">
        <f t="array" aca="1" ref="AC33" ca="1">IF($B33="","",IF(ISBLANK(INDIRECT("R7.Video!D"&amp;SUM(18,38*2,14))),"",INDIRECT("R7.Video!D"&amp;SUM(18,38*2,14))))</f>
        <v>N/T</v>
      </c>
      <c r="AD33" s="215" t="str" cm="1">
        <f t="array" aca="1" ref="AD33" ca="1">IF($B33="","",IF(ISBLANK(INDIRECT("R7.Video!D"&amp;SUM(18,38*3,14))),"",INDIRECT("R7.Video!D"&amp;SUM(18,38*3,14))))</f>
        <v>N/T</v>
      </c>
      <c r="AE33" s="215" t="str" cm="1">
        <f t="array" aca="1" ref="AE33" ca="1">IF($B33="","",IF(ISBLANK(INDIRECT("R7.Video!D"&amp;SUM(18,38*4,14))),"",INDIRECT("R7.Video!D"&amp;SUM(18,38*4,14))))</f>
        <v>N/T</v>
      </c>
      <c r="AF33" s="215" t="str" cm="1">
        <f t="array" aca="1" ref="AF33" ca="1">IF($B33="","",IF(ISBLANK(INDIRECT("R7.Video!D"&amp;SUM(18,38*5,14))),"",INDIRECT("R7.Video!D"&amp;SUM(18,38*5,14))))</f>
        <v>N/T</v>
      </c>
      <c r="AG33" s="215" t="str" cm="1">
        <f t="array" aca="1" ref="AG33" ca="1">IF($B33="","",IF(ISBLANK(INDIRECT("R7.Video!D"&amp;SUM(18,38*6,14))),"",INDIRECT("R7.Video!D"&amp;SUM(18,38*6,14))))</f>
        <v>N/T</v>
      </c>
      <c r="AH33" s="215" t="str" cm="1">
        <f t="array" aca="1" ref="AH33" ca="1">IF($B33="","",IF(ISBLANK(INDIRECT("R7.Video!D"&amp;SUM(18,38*7,14))),"",INDIRECT("R7.Video!D"&amp;SUM(18,38*7,14))))</f>
        <v>N/T</v>
      </c>
      <c r="AI33" s="215" t="str" cm="1">
        <f t="array" aca="1" ref="AI33" ca="1">IF($B33="","",IF(ISBLANK(INDIRECT("R7.Video!D"&amp;SUM(18,38*8,14))),"",INDIRECT("R7.Video!D"&amp;SUM(18,38*8,14))))</f>
        <v>N/T</v>
      </c>
      <c r="AJ33" s="215" t="str" cm="1">
        <f t="array" aca="1" ref="AJ33" ca="1">IF($B33="","",IF(ISBLANK(INDIRECT("R9.Web!D"&amp;SUM(18,38*0,14))),"",INDIRECT("R9.Web!D"&amp;SUM(18,38*0,14))))</f>
        <v>N/D</v>
      </c>
      <c r="AK33" s="215" t="str" cm="1">
        <f t="array" aca="1" ref="AK33" ca="1">IF($B33="","",IF(ISBLANK(INDIRECT("R9.Web!D"&amp;SUM(18,38*1,14))),"",INDIRECT("R9.Web!D"&amp;SUM(18,38*1,14))))</f>
        <v>N/T</v>
      </c>
      <c r="AL33" s="215" t="str" cm="1">
        <f t="array" aca="1" ref="AL33" ca="1">IF($B33="","",IF(ISBLANK(INDIRECT("R9.Web!D"&amp;SUM(18,38*2,14))),"",INDIRECT("R9.Web!D"&amp;SUM(18,38*2,14))))</f>
        <v>N/T</v>
      </c>
      <c r="AM33" s="215" t="str" cm="1">
        <f t="array" aca="1" ref="AM33" ca="1">IF($B33="","",IF(ISBLANK(INDIRECT("R9.Web!D"&amp;SUM(18,38*3,14))),"",INDIRECT("R9.Web!D"&amp;SUM(18,38*3,14))))</f>
        <v>N/T</v>
      </c>
      <c r="AN33" s="215" t="str" cm="1">
        <f t="array" aca="1" ref="AN33" ca="1">IF($B33="","",IF(ISBLANK(INDIRECT("R9.Web!D"&amp;SUM(18,38*4,14))),"",INDIRECT("R9.Web!D"&amp;SUM(18,38*4,14))))</f>
        <v>N/T</v>
      </c>
      <c r="AO33" s="215" t="str" cm="1">
        <f t="array" aca="1" ref="AO33" ca="1">IF($B33="","",IF(ISBLANK(INDIRECT("R9.Web!D"&amp;SUM(18,38*5,14))),"",INDIRECT("R9.Web!D"&amp;SUM(18,38*5,14))))</f>
        <v>N/D</v>
      </c>
      <c r="AP33" s="215" t="str" cm="1">
        <f t="array" aca="1" ref="AP33" ca="1">IF($B33="","",IF(ISBLANK(INDIRECT("R9.Web!D"&amp;SUM(18,38*6,14))),"",INDIRECT("R9.Web!D"&amp;SUM(18,38*6,14))))</f>
        <v>N/T</v>
      </c>
      <c r="AQ33" s="215" t="str" cm="1">
        <f t="array" aca="1" ref="AQ33" ca="1">IF($B33="","",IF(ISBLANK(INDIRECT("R9.Web!D"&amp;SUM(18,38*7,14))),"",INDIRECT("R9.Web!D"&amp;SUM(18,38*7,14))))</f>
        <v>N/T</v>
      </c>
      <c r="AR33" s="215" t="str" cm="1">
        <f t="array" aca="1" ref="AR33" ca="1">IF($B33="","",IF(ISBLANK(INDIRECT("R9.Web!D"&amp;SUM(18,38*8,14))),"",INDIRECT("R9.Web!D"&amp;SUM(18,38*8,14))))</f>
        <v>N/D</v>
      </c>
      <c r="AS33" s="215" t="str" cm="1">
        <f t="array" aca="1" ref="AS33" ca="1">IF($B33="","",IF(ISBLANK(INDIRECT("R9.Web!D"&amp;SUM(18,38*9,14))),"",INDIRECT("R9.Web!D"&amp;SUM(18,38*9,14))))</f>
        <v>N/D</v>
      </c>
      <c r="AT33" s="215" t="str" cm="1">
        <f t="array" aca="1" ref="AT33" ca="1">IF($B33="","",IF(ISBLANK(INDIRECT("R9.Web!D"&amp;SUM(18,38*10,14))),"",INDIRECT("R9.Web!D"&amp;SUM(18,38*10,14))))</f>
        <v>N/T</v>
      </c>
      <c r="AU33" s="215" t="str" cm="1">
        <f t="array" aca="1" ref="AU33" ca="1">IF($B33="","",IF(ISBLANK(INDIRECT("R9.Web!D"&amp;SUM(18,38*11,14))),"",INDIRECT("R9.Web!D"&amp;SUM(18,38*11,14))))</f>
        <v>N/T</v>
      </c>
      <c r="AV33" s="215" t="str" cm="1">
        <f t="array" aca="1" ref="AV33" ca="1">IF($B33="","",IF(ISBLANK(INDIRECT("R9.Web!D"&amp;SUM(18,38*12,14))),"",INDIRECT("R9.Web!D"&amp;SUM(18,38*12,14))))</f>
        <v>N/D</v>
      </c>
      <c r="AW33" s="215" t="str" cm="1">
        <f t="array" aca="1" ref="AW33" ca="1">IF($B33="","",IF(ISBLANK(INDIRECT("R9.Web!D"&amp;SUM(18,38*13,14))),"",INDIRECT("R9.Web!D"&amp;SUM(18,38*13,14))))</f>
        <v>N/T</v>
      </c>
      <c r="AX33" s="215" t="str" cm="1">
        <f t="array" aca="1" ref="AX33" ca="1">IF($B33="","",IF(ISBLANK(INDIRECT("R9.Web!D"&amp;SUM(18,38*14,14))),"",INDIRECT("R9.Web!D"&amp;SUM(18,38*14,14))))</f>
        <v>N/T</v>
      </c>
      <c r="AY33" s="215" t="str" cm="1">
        <f t="array" aca="1" ref="AY33" ca="1">IF($B33="","",IF(ISBLANK(INDIRECT("R9.Web!D"&amp;SUM(18,38*15,14))),"",INDIRECT("R9.Web!D"&amp;SUM(18,38*15,14))))</f>
        <v>N/D</v>
      </c>
      <c r="AZ33" s="215" t="str" cm="1">
        <f t="array" aca="1" ref="AZ33" ca="1">IF($B33="","",IF(ISBLANK(INDIRECT("R9.Web!D"&amp;SUM(18,38*16,14))),"",INDIRECT("R9.Web!D"&amp;SUM(18,38*16,14))))</f>
        <v>N/T</v>
      </c>
      <c r="BA33" s="215" t="str" cm="1">
        <f t="array" aca="1" ref="BA33" ca="1">IF($B33="","",IF(ISBLANK(INDIRECT("R9.Web!D"&amp;SUM(18,38*17,14))),"",INDIRECT("R9.Web!D"&amp;SUM(18,38*17,14))))</f>
        <v>N/D</v>
      </c>
      <c r="BB33" s="215" t="str" cm="1">
        <f t="array" aca="1" ref="BB33" ca="1">IF($B33="","",IF(ISBLANK(INDIRECT("R9.Web!D"&amp;SUM(18,38*18,14))),"",INDIRECT("R9.Web!D"&amp;SUM(18,38*18,14))))</f>
        <v>N/T</v>
      </c>
      <c r="BC33" s="215" t="str" cm="1">
        <f t="array" aca="1" ref="BC33" ca="1">IF($B33="","",IF(ISBLANK(INDIRECT("R9.Web!D"&amp;SUM(18,38*19,14))),"",INDIRECT("R9.Web!D"&amp;SUM(18,38*19,14))))</f>
        <v>N/D</v>
      </c>
      <c r="BD33" s="215" t="str" cm="1">
        <f t="array" aca="1" ref="BD33" ca="1">IF($B33="","",IF(ISBLANK(INDIRECT("R9.Web!D"&amp;SUM(18,38*20,14))),"",INDIRECT("R9.Web!D"&amp;SUM(18,38*20,14))))</f>
        <v>N/T</v>
      </c>
      <c r="BE33" s="215" t="str" cm="1">
        <f t="array" aca="1" ref="BE33" ca="1">IF($B33="","",IF(ISBLANK(INDIRECT("R9.Web!D"&amp;SUM(18,38*21,14))),"",INDIRECT("R9.Web!D"&amp;SUM(18,38*21,14))))</f>
        <v>N/T</v>
      </c>
      <c r="BF33" s="215" t="str" cm="1">
        <f t="array" aca="1" ref="BF33" ca="1">IF($B33="","",IF(ISBLANK(INDIRECT("R9.Web!D"&amp;SUM(18,38*22,14))),"",INDIRECT("R9.Web!D"&amp;SUM(18,38*22,14))))</f>
        <v>N/D</v>
      </c>
      <c r="BG33" s="215" t="str" cm="1">
        <f t="array" aca="1" ref="BG33" ca="1">IF($B33="","",IF(ISBLANK(INDIRECT("R9.Web!D"&amp;SUM(18,38*23,14))),"",INDIRECT("R9.Web!D"&amp;SUM(18,38*23,14))))</f>
        <v>N/D</v>
      </c>
      <c r="BH33" s="215" t="str" cm="1">
        <f t="array" aca="1" ref="BH33" ca="1">IF($B33="","",IF(ISBLANK(INDIRECT("R9.Web!D"&amp;SUM(18,38*24,14))),"",INDIRECT("R9.Web!D"&amp;SUM(18,38*24,14))))</f>
        <v>N/T</v>
      </c>
      <c r="BI33" s="215" t="str" cm="1">
        <f t="array" aca="1" ref="BI33" ca="1">IF($B33="","",IF(ISBLANK(INDIRECT("R9.Web!D"&amp;SUM(18,38*25,14))),"",INDIRECT("R9.Web!D"&amp;SUM(18,38*25,14))))</f>
        <v>N/D</v>
      </c>
      <c r="BJ33" s="215" t="str" cm="1">
        <f t="array" aca="1" ref="BJ33" ca="1">IF($B33="","",IF(ISBLANK(INDIRECT("R9.Web!D"&amp;SUM(18,38*26,14))),"",INDIRECT("R9.Web!D"&amp;SUM(18,38*26,14))))</f>
        <v>N/D</v>
      </c>
      <c r="BK33" s="215" t="str" cm="1">
        <f t="array" aca="1" ref="BK33" ca="1">IF($B33="","",IF(ISBLANK(INDIRECT("R9.Web!D"&amp;SUM(18,38*27,14))),"",INDIRECT("R9.Web!D"&amp;SUM(18,38*27,14))))</f>
        <v>N/D</v>
      </c>
      <c r="BL33" s="215" t="str" cm="1">
        <f t="array" aca="1" ref="BL33" ca="1">IF($B33="","",IF(ISBLANK(INDIRECT("R9.Web!D"&amp;SUM(18,38*28,14))),"",INDIRECT("R9.Web!D"&amp;SUM(18,38*28,14))))</f>
        <v>N/D</v>
      </c>
      <c r="BM33" s="215" t="str" cm="1">
        <f t="array" aca="1" ref="BM33" ca="1">IF($B33="","",IF(ISBLANK(INDIRECT("R9.Web!D"&amp;SUM(18,38*29,14))),"",INDIRECT("R9.Web!D"&amp;SUM(18,38*29,14))))</f>
        <v>N/D</v>
      </c>
      <c r="BN33" s="215" t="str" cm="1">
        <f t="array" aca="1" ref="BN33" ca="1">IF($B33="","",IF(ISBLANK(INDIRECT("R9.Web!D"&amp;SUM(18,38*30,14))),"",INDIRECT("R9.Web!D"&amp;SUM(18,38*30,14))))</f>
        <v>N/T</v>
      </c>
      <c r="BO33" s="215" t="str" cm="1">
        <f t="array" aca="1" ref="BO33" ca="1">IF($B33="","",IF(ISBLANK(INDIRECT("R9.Web!D"&amp;SUM(18,38*31,14))),"",INDIRECT("R9.Web!D"&amp;SUM(18,38*31,14))))</f>
        <v>N/D</v>
      </c>
      <c r="BP33" s="215" t="str" cm="1">
        <f t="array" aca="1" ref="BP33" ca="1">IF($B33="","",IF(ISBLANK(INDIRECT("R9.Web!D"&amp;SUM(18,38*32,14))),"",INDIRECT("R9.Web!D"&amp;SUM(18,38*32,14))))</f>
        <v>N/T</v>
      </c>
      <c r="BQ33" s="215" t="str" cm="1">
        <f t="array" aca="1" ref="BQ33" ca="1">IF($B33="","",IF(ISBLANK(INDIRECT("R9.Web!D"&amp;SUM(18,38*33,14))),"",INDIRECT("R9.Web!D"&amp;SUM(18,38*33,14))))</f>
        <v>N/T</v>
      </c>
      <c r="BR33" s="215" t="str" cm="1">
        <f t="array" aca="1" ref="BR33" ca="1">IF($B33="","",IF(ISBLANK(INDIRECT("R9.Web!D"&amp;SUM(18,38*34,14))),"",INDIRECT("R9.Web!D"&amp;SUM(18,38*34,14))))</f>
        <v>N/D</v>
      </c>
      <c r="BS33" s="215" t="str" cm="1">
        <f t="array" aca="1" ref="BS33" ca="1">IF($B33="","",IF(ISBLANK(INDIRECT("R9.Web!D"&amp;SUM(18,38*35,14))),"",INDIRECT("R9.Web!D"&amp;SUM(18,38*35,14))))</f>
        <v>N/T</v>
      </c>
      <c r="BT33" s="215" t="str" cm="1">
        <f t="array" aca="1" ref="BT33" ca="1">IF($B33="","",IF(ISBLANK(INDIRECT("R9.Web!D"&amp;SUM(18,38*36,14))),"",INDIRECT("R9.Web!D"&amp;SUM(18,38*36,14))))</f>
        <v>N/D</v>
      </c>
      <c r="BU33" s="215" t="str" cm="1">
        <f t="array" aca="1" ref="BU33" ca="1">IF($B33="","",IF(ISBLANK(INDIRECT("R9.Web!D"&amp;SUM(18,38*37,14))),"",INDIRECT("R9.Web!D"&amp;SUM(18,38*37,14))))</f>
        <v>N/D</v>
      </c>
      <c r="BV33" s="215" t="str" cm="1">
        <f t="array" aca="1" ref="BV33" ca="1">IF($B33="","",IF(ISBLANK(INDIRECT("R9.Web!D"&amp;SUM(18,38*38,14))),"",INDIRECT("R9.Web!D"&amp;SUM(18,38*38,14))))</f>
        <v>N/D</v>
      </c>
      <c r="BW33" s="215" t="str" cm="1">
        <f t="array" aca="1" ref="BW33" ca="1">IF($B33="","",IF(ISBLANK(INDIRECT("R9.Web!D"&amp;SUM(18,38*39,14))),"",INDIRECT("R9.Web!D"&amp;SUM(18,38*39,14))))</f>
        <v>N/D</v>
      </c>
      <c r="BX33" s="215" t="str" cm="1">
        <f t="array" aca="1" ref="BX33" ca="1">IF($B33="","",IF(ISBLANK(INDIRECT("R9.Web!D"&amp;SUM(18,38*40,14))),"",INDIRECT("R9.Web!D"&amp;SUM(18,38*40,14))))</f>
        <v>N/D</v>
      </c>
      <c r="BY33" s="215" t="str" cm="1">
        <f t="array" aca="1" ref="BY33" ca="1">IF($B33="","",IF(ISBLANK(INDIRECT("R9.Web!D"&amp;SUM(18,38*41,14))),"",INDIRECT("R9.Web!D"&amp;SUM(18,38*41,14))))</f>
        <v>N/T</v>
      </c>
      <c r="BZ33" s="215" t="str" cm="1">
        <f t="array" aca="1" ref="BZ33" ca="1">IF($B33="","",IF(ISBLANK(INDIRECT("R9.Web!D"&amp;SUM(18,38*42,14))),"",INDIRECT("R9.Web!D"&amp;SUM(18,38*42,14))))</f>
        <v>N/T</v>
      </c>
      <c r="CA33" s="215" t="str" cm="1">
        <f t="array" aca="1" ref="CA33" ca="1">IF($B33="","",IF(ISBLANK(INDIRECT("R9.Web!D"&amp;SUM(18,38*43,14))),"",INDIRECT("R9.Web!D"&amp;SUM(18,38*43,14))))</f>
        <v>N/D</v>
      </c>
      <c r="CB33" s="215" t="str" cm="1">
        <f t="array" aca="1" ref="CB33" ca="1">IF($B33="","",IF(ISBLANK(INDIRECT("R9.Web!D"&amp;SUM(18,38*44,14))),"",INDIRECT("R9.Web!D"&amp;SUM(18,38*44,14))))</f>
        <v>N/T</v>
      </c>
      <c r="CC33" s="215" t="str" cm="1">
        <f t="array" aca="1" ref="CC33" ca="1">IF($B33="","",IF(ISBLANK(INDIRECT("R9.Web!D"&amp;SUM(18,38*45,14))),"",INDIRECT("R9.Web!D"&amp;SUM(18,38*45,14))))</f>
        <v>N/T</v>
      </c>
      <c r="CD33" s="215" t="str" cm="1">
        <f t="array" aca="1" ref="CD33" ca="1">IF($B33="","",IF(ISBLANK(INDIRECT("R9.Web!D"&amp;SUM(18,38*46,14))),"",INDIRECT("R9.Web!D"&amp;SUM(18,38*46,14))))</f>
        <v>N/T</v>
      </c>
      <c r="CE33" s="215" t="str" cm="1">
        <f t="array" aca="1" ref="CE33" ca="1">IF($B33="","",IF(ISBLANK(INDIRECT("R9.Web!D"&amp;SUM(18,38*47,14))),"",INDIRECT("R9.Web!D"&amp;SUM(18,38*47,14))))</f>
        <v>N/D</v>
      </c>
      <c r="CF33" s="215" t="str" cm="1">
        <f t="array" aca="1" ref="CF33" ca="1">IF($B33="","",IF(ISBLANK(INDIRECT("R9.Web!D"&amp;SUM(18,38*48,14))),"",INDIRECT("R9.Web!D"&amp;SUM(18,38*48,14))))</f>
        <v>N/T</v>
      </c>
      <c r="CG33" s="215" t="str" cm="1">
        <f t="array" aca="1" ref="CG33" ca="1">IF($B33="","",IF(ISBLANK(INDIRECT("R9.Web!D"&amp;SUM(18,38*49,14))),"",INDIRECT("R9.Web!D"&amp;SUM(18,38*49,14))))</f>
        <v>N/T</v>
      </c>
      <c r="CH33" s="215" t="str" cm="1">
        <f t="array" aca="1" ref="CH33" ca="1">IF($B33="","",IF(ISBLANK(INDIRECT("R11.Software!D"&amp;SUM(18,38*0,14))),"",INDIRECT("R11.Software!D"&amp;SUM(18,38*0,14))))</f>
        <v>N/T</v>
      </c>
      <c r="CI33" s="215" t="str" cm="1">
        <f t="array" aca="1" ref="CI33" ca="1">IF($B33="","",IF(ISBLANK(INDIRECT("R11.Software!D"&amp;SUM(18,38*1,14))),"",INDIRECT("R11.Software!D"&amp;SUM(18,38*1,14))))</f>
        <v>N/T</v>
      </c>
      <c r="CJ33" s="215" t="str" cm="1">
        <f t="array" aca="1" ref="CJ33" ca="1">IF($B33="","",IF(ISBLANK(INDIRECT("R11.Software!D"&amp;SUM(18,38*2,14))),"",INDIRECT("R11.Software!D"&amp;SUM(18,38*2,14))))</f>
        <v>N/T</v>
      </c>
      <c r="CK33" s="215" t="str" cm="1">
        <f t="array" aca="1" ref="CK33" ca="1">IF($B33="","",IF(ISBLANK(INDIRECT("R11.Software!D"&amp;SUM(18,38*3,14))),"",INDIRECT("R11.Software!D"&amp;SUM(18,38*3,14))))</f>
        <v>N/T</v>
      </c>
      <c r="CL33" s="215" t="str" cm="1">
        <f t="array" aca="1" ref="CL33" ca="1">IF($B33="","",IF(ISBLANK(INDIRECT("R11.Software!D"&amp;SUM(18,38*4,14))),"",INDIRECT("R11.Software!D"&amp;SUM(18,38*4,14))))</f>
        <v>N/T</v>
      </c>
      <c r="CM33" s="215" t="str" cm="1">
        <f t="array" aca="1" ref="CM33" ca="1">IF($B33="","",IF(ISBLANK(INDIRECT("R11.Software!D"&amp;SUM(18,38*5,14))),"",INDIRECT("R11.Software!D"&amp;SUM(18,38*5,14))))</f>
        <v>N/T</v>
      </c>
      <c r="CN33" s="215" t="str" cm="1">
        <f t="array" aca="1" ref="CN33" ca="1">IF($B33="","",IF(ISBLANK(INDIRECT("R12.ServiciosApoyo!D"&amp;SUM(18,38*0,14))),"",INDIRECT("R12.ServiciosApoyo!D"&amp;SUM(18,38*0,14))))</f>
        <v>N/T</v>
      </c>
      <c r="CO33" s="215" t="str" cm="1">
        <f t="array" aca="1" ref="CO33" ca="1">IF($B33="","",IF(ISBLANK(INDIRECT("R12.ServiciosApoyo!D"&amp;SUM(18,38*1,14))),"",INDIRECT("R12.ServiciosApoyo!D"&amp;SUM(18,38*1,14))))</f>
        <v>N/T</v>
      </c>
      <c r="CP33" s="215" t="str" cm="1">
        <f t="array" aca="1" ref="CP33" ca="1">IF($B33="","",IF(ISBLANK(INDIRECT("R12.ServiciosApoyo!D"&amp;SUM(18,38*2,14))),"",INDIRECT("R12.ServiciosApoyo!D"&amp;SUM(18,38*2,14))))</f>
        <v>N/T</v>
      </c>
      <c r="CQ33" s="215" t="str" cm="1">
        <f t="array" aca="1" ref="CQ33" ca="1">IF($B33="","",IF(ISBLANK(INDIRECT("R12.ServiciosApoyo!D"&amp;SUM(18,38*3,14))),"",INDIRECT("R12.ServiciosApoyo!D"&amp;SUM(18,38*3,14))))</f>
        <v>N/T</v>
      </c>
      <c r="CR33" s="215" t="str" cm="1">
        <f t="array" aca="1" ref="CR33" ca="1">IF($B33="","",IF(ISBLANK(INDIRECT("R12.ServiciosApoyo!D"&amp;SUM(18,38*4,14))),"",INDIRECT("R12.ServiciosApoyo!D"&amp;SUM(18,38*4,14))))</f>
        <v>N/T</v>
      </c>
      <c r="CU33" s="100"/>
      <c r="CV33" s="29"/>
      <c r="CW33" s="29"/>
      <c r="CX33" s="29"/>
    </row>
    <row r="34" spans="2:102" ht="20.25">
      <c r="B34" s="181" t="n" cm="1">
        <f t="array" ref="B34">IFERROR(INDEX('03.Muestra'!$B$8:$B$42,SMALL(IF("Página Web"='03.Muestra'!$D$8:$D$42,ROW('03.Muestra'!$B$8:$B$42)-MIN(ROW('03.Muestra'!$D$8:$D$42))+1,""),ROW()-19)),"")</f>
        <v>1.0</v>
      </c>
      <c r="C34" s="97" t="str" cm="1">
        <f t="array" ref="C34">IFERROR(INDEX('03.Muestra'!$C$8:$C$42,SMALL(IF("Página Web"='03.Muestra'!$D$8:$D$42,ROW('03.Muestra'!$C$8:$C$42)-MIN(ROW('03.Muestra'!$D$8:$D$42))+1,""),ROW()-19)),"")</f>
        <v>Home - PortCastelló</v>
      </c>
      <c r="D34" s="98" t="str" cm="1">
        <f t="array" ref="D34">IFERROR(INDEX('03.Muestra'!$F$8:$F$42,SMALL(IF("Página Web"='03.Muestra'!$D$8:$D$42,ROW('03.Muestra'!$F$8:$F$42)-MIN(ROW('03.Muestra'!$D$8:$D$42))+1,""),ROW()-19)),"")</f>
        <v>https://www.portcastello.com/</v>
      </c>
      <c r="E34" s="215" t="str" cm="1">
        <f t="array" aca="1" ref="E34" ca="1">IF($B34="","",IF(ISBLANK(INDIRECT("R5.Genéricos!D"&amp;SUM(18,38*0,15))),"",INDIRECT("R5.Genéricos!D"&amp;SUM(18,38*0,15))))</f>
        <v>N/T</v>
      </c>
      <c r="F34" s="215" t="str" cm="1">
        <f t="array" aca="1" ref="F34" ca="1">IF($B34="","",IF(ISBLANK(INDIRECT("R5.Genéricos!D"&amp;SUM(18,38*1,15))),"",INDIRECT("R5.Genéricos!D"&amp;SUM(18,38*1,15))))</f>
        <v>N/T</v>
      </c>
      <c r="G34" s="215" t="str" cm="1">
        <f t="array" aca="1" ref="G34" ca="1">IF($B34="","",IF(ISBLANK(INDIRECT("R5.Genéricos!D"&amp;SUM(18,38*2,15))),"",INDIRECT("R5.Genéricos!D"&amp;SUM(18,38*2,15))))</f>
        <v>N/T</v>
      </c>
      <c r="H34" s="215" t="str" cm="1">
        <f t="array" aca="1" ref="H34" ca="1">IF($B34="","",IF(ISBLANK(INDIRECT("R6.Voz!D"&amp;SUM(18,38*0,15))),"",INDIRECT("R6.Voz!D"&amp;SUM(18,38*0,15))))</f>
        <v>N/T</v>
      </c>
      <c r="I34" s="215" t="str" cm="1">
        <f t="array" aca="1" ref="I34" ca="1">IF($B34="","",IF(ISBLANK(INDIRECT("R6.Voz!D"&amp;SUM(18,38*1,15))),"",INDIRECT("R6.Voz!D"&amp;SUM(18,38*1,15))))</f>
        <v>N/T</v>
      </c>
      <c r="J34" s="215" t="str" cm="1">
        <f t="array" aca="1" ref="J34" ca="1">IF($B34="","",IF(ISBLANK(INDIRECT("R6.Voz!D"&amp;SUM(18,38*2,15))),"",INDIRECT("R6.Voz!D"&amp;SUM(18,38*2,15))))</f>
        <v>N/T</v>
      </c>
      <c r="K34" s="215" t="str" cm="1">
        <f t="array" aca="1" ref="K34" ca="1">IF($B34="","",IF(ISBLANK(INDIRECT("R6.Voz!D"&amp;SUM(18,38*3,15))),"",INDIRECT("R6.Voz!D"&amp;SUM(18,38*3,15))))</f>
        <v>N/T</v>
      </c>
      <c r="L34" s="215" t="str" cm="1">
        <f t="array" aca="1" ref="L34" ca="1">IF($B34="","",IF(ISBLANK(INDIRECT("R6.Voz!D"&amp;SUM(18,38*4,15))),"",INDIRECT("R6.Voz!D"&amp;SUM(18,38*4,15))))</f>
        <v>N/T</v>
      </c>
      <c r="M34" s="215" t="str" cm="1">
        <f t="array" aca="1" ref="M34" ca="1">IF($B34="","",IF(ISBLANK(INDIRECT("R6.Voz!D"&amp;SUM(18,38*5,15))),"",INDIRECT("R6.Voz!D"&amp;SUM(18,38*5,15))))</f>
        <v>N/T</v>
      </c>
      <c r="N34" s="215" t="str" cm="1">
        <f t="array" aca="1" ref="N34" ca="1">IF($B34="","",IF(ISBLANK(INDIRECT("R6.Voz!D"&amp;SUM(18,38*6,15))),"",INDIRECT("R6.Voz!D"&amp;SUM(18,38*6,15))))</f>
        <v>N/T</v>
      </c>
      <c r="O34" s="215" t="str" cm="1">
        <f t="array" aca="1" ref="O34" ca="1">IF($B34="","",IF(ISBLANK(INDIRECT("R6.Voz!D"&amp;SUM(18,38*7,15))),"",INDIRECT("R6.Voz!D"&amp;SUM(18,38*7,15))))</f>
        <v>N/T</v>
      </c>
      <c r="P34" s="215" t="str" cm="1">
        <f t="array" aca="1" ref="P34" ca="1">IF($B34="","",IF(ISBLANK(INDIRECT("R6.Voz!D"&amp;SUM(18,38*8,15))),"",INDIRECT("R6.Voz!D"&amp;SUM(18,38*8,15))))</f>
        <v>N/T</v>
      </c>
      <c r="Q34" s="215" t="str" cm="1">
        <f t="array" aca="1" ref="Q34" ca="1">IF($B34="","",IF(ISBLANK(INDIRECT("R6.Voz!D"&amp;SUM(18,38*9,15))),"",INDIRECT("R6.Voz!D"&amp;SUM(18,38*9,15))))</f>
        <v>N/T</v>
      </c>
      <c r="R34" s="215" t="str" cm="1">
        <f t="array" aca="1" ref="R34" ca="1">IF($B34="","",IF(ISBLANK(INDIRECT("R6.Voz!D"&amp;SUM(18,38*10,15))),"",INDIRECT("R6.Voz!D"&amp;SUM(18,38*10,15))))</f>
        <v>N/T</v>
      </c>
      <c r="S34" s="215" t="str" cm="1">
        <f t="array" aca="1" ref="S34" ca="1">IF($B34="","",IF(ISBLANK(INDIRECT("R6.Voz!D"&amp;SUM(18,38*11,15))),"",INDIRECT("R6.Voz!D"&amp;SUM(18,38*11,15))))</f>
        <v>N/T</v>
      </c>
      <c r="T34" s="215" t="str" cm="1">
        <f t="array" aca="1" ref="T34" ca="1">IF($B34="","",IF(ISBLANK(INDIRECT("R6.Voz!D"&amp;SUM(18,38*12,15))),"",INDIRECT("R6.Voz!D"&amp;SUM(18,38*12,15))))</f>
        <v>N/T</v>
      </c>
      <c r="U34" s="215" t="str" cm="1">
        <f t="array" aca="1" ref="U34" ca="1">IF($B34="","",IF(ISBLANK(INDIRECT("R6.Voz!D"&amp;SUM(18,38*13,15))),"",INDIRECT("R6.Voz!D"&amp;SUM(18,38*13,15))))</f>
        <v>N/T</v>
      </c>
      <c r="V34" s="215" t="str" cm="1">
        <f t="array" aca="1" ref="V34" ca="1">IF($B34="","",IF(ISBLANK(INDIRECT("R6.Voz!D"&amp;SUM(18,38*14,15))),"",INDIRECT("R6.Voz!D"&amp;SUM(18,38*14,15))))</f>
        <v>N/T</v>
      </c>
      <c r="W34" s="215" t="str" cm="1">
        <f t="array" aca="1" ref="W34" ca="1">IF($B34="","",IF(ISBLANK(INDIRECT("R6.Voz!D"&amp;SUM(18,38*15,15))),"",INDIRECT("R6.Voz!D"&amp;SUM(18,38*15,15))))</f>
        <v>N/T</v>
      </c>
      <c r="X34" s="215" t="str" cm="1">
        <f t="array" aca="1" ref="X34" ca="1">IF($B34="","",IF(ISBLANK(INDIRECT("R6.Voz!D"&amp;SUM(18,38*16,15))),"",INDIRECT("R6.Voz!D"&amp;SUM(18,38*16,15))))</f>
        <v>N/T</v>
      </c>
      <c r="Y34" s="215" t="str" cm="1">
        <f t="array" aca="1" ref="Y34" ca="1">IF($B34="","",IF(ISBLANK(INDIRECT("R6.Voz!D"&amp;SUM(18,38*17,15))),"",INDIRECT("R6.Voz!D"&amp;SUM(18,38*17,15))))</f>
        <v>N/T</v>
      </c>
      <c r="Z34" s="215" t="str" cm="1">
        <f t="array" aca="1" ref="Z34" ca="1">IF($B34="","",IF(ISBLANK(INDIRECT("R6.Voz!D"&amp;SUM(18,38*18,15))),"",INDIRECT("R6.Voz!D"&amp;SUM(18,38*18,15))))</f>
        <v>N/T</v>
      </c>
      <c r="AA34" s="215" t="str" cm="1">
        <f t="array" aca="1" ref="AA34" ca="1">IF($B34="","",IF(ISBLANK(INDIRECT("R7.Video!D"&amp;SUM(18,38*0,15))),"",INDIRECT("R7.Video!D"&amp;SUM(18,38*0,15))))</f>
        <v>N/T</v>
      </c>
      <c r="AB34" s="215" t="str" cm="1">
        <f t="array" aca="1" ref="AB34" ca="1">IF($B34="","",IF(ISBLANK(INDIRECT("R7.Video!D"&amp;SUM(18,38*1,15))),"",INDIRECT("R7.Video!D"&amp;SUM(18,38*1,15))))</f>
        <v>N/T</v>
      </c>
      <c r="AC34" s="215" t="str" cm="1">
        <f t="array" aca="1" ref="AC34" ca="1">IF($B34="","",IF(ISBLANK(INDIRECT("R7.Video!D"&amp;SUM(18,38*2,15))),"",INDIRECT("R7.Video!D"&amp;SUM(18,38*2,15))))</f>
        <v>N/T</v>
      </c>
      <c r="AD34" s="215" t="str" cm="1">
        <f t="array" aca="1" ref="AD34" ca="1">IF($B34="","",IF(ISBLANK(INDIRECT("R7.Video!D"&amp;SUM(18,38*3,15))),"",INDIRECT("R7.Video!D"&amp;SUM(18,38*3,15))))</f>
        <v>N/T</v>
      </c>
      <c r="AE34" s="215" t="str" cm="1">
        <f t="array" aca="1" ref="AE34" ca="1">IF($B34="","",IF(ISBLANK(INDIRECT("R7.Video!D"&amp;SUM(18,38*4,15))),"",INDIRECT("R7.Video!D"&amp;SUM(18,38*4,15))))</f>
        <v>N/T</v>
      </c>
      <c r="AF34" s="215" t="str" cm="1">
        <f t="array" aca="1" ref="AF34" ca="1">IF($B34="","",IF(ISBLANK(INDIRECT("R7.Video!D"&amp;SUM(18,38*5,15))),"",INDIRECT("R7.Video!D"&amp;SUM(18,38*5,15))))</f>
        <v>N/T</v>
      </c>
      <c r="AG34" s="215" t="str" cm="1">
        <f t="array" aca="1" ref="AG34" ca="1">IF($B34="","",IF(ISBLANK(INDIRECT("R7.Video!D"&amp;SUM(18,38*6,15))),"",INDIRECT("R7.Video!D"&amp;SUM(18,38*6,15))))</f>
        <v>N/T</v>
      </c>
      <c r="AH34" s="215" t="str" cm="1">
        <f t="array" aca="1" ref="AH34" ca="1">IF($B34="","",IF(ISBLANK(INDIRECT("R7.Video!D"&amp;SUM(18,38*7,15))),"",INDIRECT("R7.Video!D"&amp;SUM(18,38*7,15))))</f>
        <v>N/T</v>
      </c>
      <c r="AI34" s="215" t="str" cm="1">
        <f t="array" aca="1" ref="AI34" ca="1">IF($B34="","",IF(ISBLANK(INDIRECT("R7.Video!D"&amp;SUM(18,38*8,15))),"",INDIRECT("R7.Video!D"&amp;SUM(18,38*8,15))))</f>
        <v>N/T</v>
      </c>
      <c r="AJ34" s="215" t="str" cm="1">
        <f t="array" aca="1" ref="AJ34" ca="1">IF($B34="","",IF(ISBLANK(INDIRECT("R9.Web!D"&amp;SUM(18,38*0,15))),"",INDIRECT("R9.Web!D"&amp;SUM(18,38*0,15))))</f>
        <v>N/D</v>
      </c>
      <c r="AK34" s="215" t="str" cm="1">
        <f t="array" aca="1" ref="AK34" ca="1">IF($B34="","",IF(ISBLANK(INDIRECT("R9.Web!D"&amp;SUM(18,38*1,15))),"",INDIRECT("R9.Web!D"&amp;SUM(18,38*1,15))))</f>
        <v>N/T</v>
      </c>
      <c r="AL34" s="215" t="str" cm="1">
        <f t="array" aca="1" ref="AL34" ca="1">IF($B34="","",IF(ISBLANK(INDIRECT("R9.Web!D"&amp;SUM(18,38*2,15))),"",INDIRECT("R9.Web!D"&amp;SUM(18,38*2,15))))</f>
        <v>N/T</v>
      </c>
      <c r="AM34" s="215" t="str" cm="1">
        <f t="array" aca="1" ref="AM34" ca="1">IF($B34="","",IF(ISBLANK(INDIRECT("R9.Web!D"&amp;SUM(18,38*3,15))),"",INDIRECT("R9.Web!D"&amp;SUM(18,38*3,15))))</f>
        <v>N/T</v>
      </c>
      <c r="AN34" s="215" t="str" cm="1">
        <f t="array" aca="1" ref="AN34" ca="1">IF($B34="","",IF(ISBLANK(INDIRECT("R9.Web!D"&amp;SUM(18,38*4,15))),"",INDIRECT("R9.Web!D"&amp;SUM(18,38*4,15))))</f>
        <v>N/T</v>
      </c>
      <c r="AO34" s="215" t="str" cm="1">
        <f t="array" aca="1" ref="AO34" ca="1">IF($B34="","",IF(ISBLANK(INDIRECT("R9.Web!D"&amp;SUM(18,38*5,15))),"",INDIRECT("R9.Web!D"&amp;SUM(18,38*5,15))))</f>
        <v>N/D</v>
      </c>
      <c r="AP34" s="215" t="str" cm="1">
        <f t="array" aca="1" ref="AP34" ca="1">IF($B34="","",IF(ISBLANK(INDIRECT("R9.Web!D"&amp;SUM(18,38*6,15))),"",INDIRECT("R9.Web!D"&amp;SUM(18,38*6,15))))</f>
        <v>N/T</v>
      </c>
      <c r="AQ34" s="215" t="str" cm="1">
        <f t="array" aca="1" ref="AQ34" ca="1">IF($B34="","",IF(ISBLANK(INDIRECT("R9.Web!D"&amp;SUM(18,38*7,15))),"",INDIRECT("R9.Web!D"&amp;SUM(18,38*7,15))))</f>
        <v>N/T</v>
      </c>
      <c r="AR34" s="215" t="str" cm="1">
        <f t="array" aca="1" ref="AR34" ca="1">IF($B34="","",IF(ISBLANK(INDIRECT("R9.Web!D"&amp;SUM(18,38*8,15))),"",INDIRECT("R9.Web!D"&amp;SUM(18,38*8,15))))</f>
        <v>N/D</v>
      </c>
      <c r="AS34" s="215" t="str" cm="1">
        <f t="array" aca="1" ref="AS34" ca="1">IF($B34="","",IF(ISBLANK(INDIRECT("R9.Web!D"&amp;SUM(18,38*9,15))),"",INDIRECT("R9.Web!D"&amp;SUM(18,38*9,15))))</f>
        <v>N/D</v>
      </c>
      <c r="AT34" s="215" t="str" cm="1">
        <f t="array" aca="1" ref="AT34" ca="1">IF($B34="","",IF(ISBLANK(INDIRECT("R9.Web!D"&amp;SUM(18,38*10,15))),"",INDIRECT("R9.Web!D"&amp;SUM(18,38*10,15))))</f>
        <v>N/T</v>
      </c>
      <c r="AU34" s="215" t="str" cm="1">
        <f t="array" aca="1" ref="AU34" ca="1">IF($B34="","",IF(ISBLANK(INDIRECT("R9.Web!D"&amp;SUM(18,38*11,15))),"",INDIRECT("R9.Web!D"&amp;SUM(18,38*11,15))))</f>
        <v>N/T</v>
      </c>
      <c r="AV34" s="215" t="str" cm="1">
        <f t="array" aca="1" ref="AV34" ca="1">IF($B34="","",IF(ISBLANK(INDIRECT("R9.Web!D"&amp;SUM(18,38*12,15))),"",INDIRECT("R9.Web!D"&amp;SUM(18,38*12,15))))</f>
        <v>N/D</v>
      </c>
      <c r="AW34" s="215" t="str" cm="1">
        <f t="array" aca="1" ref="AW34" ca="1">IF($B34="","",IF(ISBLANK(INDIRECT("R9.Web!D"&amp;SUM(18,38*13,15))),"",INDIRECT("R9.Web!D"&amp;SUM(18,38*13,15))))</f>
        <v>N/T</v>
      </c>
      <c r="AX34" s="215" t="str" cm="1">
        <f t="array" aca="1" ref="AX34" ca="1">IF($B34="","",IF(ISBLANK(INDIRECT("R9.Web!D"&amp;SUM(18,38*14,15))),"",INDIRECT("R9.Web!D"&amp;SUM(18,38*14,15))))</f>
        <v>N/T</v>
      </c>
      <c r="AY34" s="215" t="str" cm="1">
        <f t="array" aca="1" ref="AY34" ca="1">IF($B34="","",IF(ISBLANK(INDIRECT("R9.Web!D"&amp;SUM(18,38*15,15))),"",INDIRECT("R9.Web!D"&amp;SUM(18,38*15,15))))</f>
        <v>N/D</v>
      </c>
      <c r="AZ34" s="215" t="str" cm="1">
        <f t="array" aca="1" ref="AZ34" ca="1">IF($B34="","",IF(ISBLANK(INDIRECT("R9.Web!D"&amp;SUM(18,38*16,15))),"",INDIRECT("R9.Web!D"&amp;SUM(18,38*16,15))))</f>
        <v>N/T</v>
      </c>
      <c r="BA34" s="215" t="str" cm="1">
        <f t="array" aca="1" ref="BA34" ca="1">IF($B34="","",IF(ISBLANK(INDIRECT("R9.Web!D"&amp;SUM(18,38*17,15))),"",INDIRECT("R9.Web!D"&amp;SUM(18,38*17,15))))</f>
        <v>N/D</v>
      </c>
      <c r="BB34" s="215" t="str" cm="1">
        <f t="array" aca="1" ref="BB34" ca="1">IF($B34="","",IF(ISBLANK(INDIRECT("R9.Web!D"&amp;SUM(18,38*18,15))),"",INDIRECT("R9.Web!D"&amp;SUM(18,38*18,15))))</f>
        <v>N/T</v>
      </c>
      <c r="BC34" s="215" t="str" cm="1">
        <f t="array" aca="1" ref="BC34" ca="1">IF($B34="","",IF(ISBLANK(INDIRECT("R9.Web!D"&amp;SUM(18,38*19,15))),"",INDIRECT("R9.Web!D"&amp;SUM(18,38*19,15))))</f>
        <v>N/D</v>
      </c>
      <c r="BD34" s="215" t="str" cm="1">
        <f t="array" aca="1" ref="BD34" ca="1">IF($B34="","",IF(ISBLANK(INDIRECT("R9.Web!D"&amp;SUM(18,38*20,15))),"",INDIRECT("R9.Web!D"&amp;SUM(18,38*20,15))))</f>
        <v>N/T</v>
      </c>
      <c r="BE34" s="215" t="str" cm="1">
        <f t="array" aca="1" ref="BE34" ca="1">IF($B34="","",IF(ISBLANK(INDIRECT("R9.Web!D"&amp;SUM(18,38*21,15))),"",INDIRECT("R9.Web!D"&amp;SUM(18,38*21,15))))</f>
        <v>N/T</v>
      </c>
      <c r="BF34" s="215" t="str" cm="1">
        <f t="array" aca="1" ref="BF34" ca="1">IF($B34="","",IF(ISBLANK(INDIRECT("R9.Web!D"&amp;SUM(18,38*22,15))),"",INDIRECT("R9.Web!D"&amp;SUM(18,38*22,15))))</f>
        <v>N/D</v>
      </c>
      <c r="BG34" s="215" t="str" cm="1">
        <f t="array" aca="1" ref="BG34" ca="1">IF($B34="","",IF(ISBLANK(INDIRECT("R9.Web!D"&amp;SUM(18,38*23,15))),"",INDIRECT("R9.Web!D"&amp;SUM(18,38*23,15))))</f>
        <v>N/D</v>
      </c>
      <c r="BH34" s="215" t="str" cm="1">
        <f t="array" aca="1" ref="BH34" ca="1">IF($B34="","",IF(ISBLANK(INDIRECT("R9.Web!D"&amp;SUM(18,38*24,15))),"",INDIRECT("R9.Web!D"&amp;SUM(18,38*24,15))))</f>
        <v>N/T</v>
      </c>
      <c r="BI34" s="215" t="str" cm="1">
        <f t="array" aca="1" ref="BI34" ca="1">IF($B34="","",IF(ISBLANK(INDIRECT("R9.Web!D"&amp;SUM(18,38*25,15))),"",INDIRECT("R9.Web!D"&amp;SUM(18,38*25,15))))</f>
        <v>N/D</v>
      </c>
      <c r="BJ34" s="215" t="str" cm="1">
        <f t="array" aca="1" ref="BJ34" ca="1">IF($B34="","",IF(ISBLANK(INDIRECT("R9.Web!D"&amp;SUM(18,38*26,15))),"",INDIRECT("R9.Web!D"&amp;SUM(18,38*26,15))))</f>
        <v>N/D</v>
      </c>
      <c r="BK34" s="215" t="str" cm="1">
        <f t="array" aca="1" ref="BK34" ca="1">IF($B34="","",IF(ISBLANK(INDIRECT("R9.Web!D"&amp;SUM(18,38*27,15))),"",INDIRECT("R9.Web!D"&amp;SUM(18,38*27,15))))</f>
        <v>N/D</v>
      </c>
      <c r="BL34" s="215" t="str" cm="1">
        <f t="array" aca="1" ref="BL34" ca="1">IF($B34="","",IF(ISBLANK(INDIRECT("R9.Web!D"&amp;SUM(18,38*28,15))),"",INDIRECT("R9.Web!D"&amp;SUM(18,38*28,15))))</f>
        <v>N/D</v>
      </c>
      <c r="BM34" s="215" t="str" cm="1">
        <f t="array" aca="1" ref="BM34" ca="1">IF($B34="","",IF(ISBLANK(INDIRECT("R9.Web!D"&amp;SUM(18,38*29,15))),"",INDIRECT("R9.Web!D"&amp;SUM(18,38*29,15))))</f>
        <v>N/D</v>
      </c>
      <c r="BN34" s="215" t="str" cm="1">
        <f t="array" aca="1" ref="BN34" ca="1">IF($B34="","",IF(ISBLANK(INDIRECT("R9.Web!D"&amp;SUM(18,38*30,15))),"",INDIRECT("R9.Web!D"&amp;SUM(18,38*30,15))))</f>
        <v>N/T</v>
      </c>
      <c r="BO34" s="215" t="str" cm="1">
        <f t="array" aca="1" ref="BO34" ca="1">IF($B34="","",IF(ISBLANK(INDIRECT("R9.Web!D"&amp;SUM(18,38*31,15))),"",INDIRECT("R9.Web!D"&amp;SUM(18,38*31,15))))</f>
        <v>N/D</v>
      </c>
      <c r="BP34" s="215" t="str" cm="1">
        <f t="array" aca="1" ref="BP34" ca="1">IF($B34="","",IF(ISBLANK(INDIRECT("R9.Web!D"&amp;SUM(18,38*32,15))),"",INDIRECT("R9.Web!D"&amp;SUM(18,38*32,15))))</f>
        <v>N/T</v>
      </c>
      <c r="BQ34" s="215" t="str" cm="1">
        <f t="array" aca="1" ref="BQ34" ca="1">IF($B34="","",IF(ISBLANK(INDIRECT("R9.Web!D"&amp;SUM(18,38*33,15))),"",INDIRECT("R9.Web!D"&amp;SUM(18,38*33,15))))</f>
        <v>N/T</v>
      </c>
      <c r="BR34" s="215" t="str" cm="1">
        <f t="array" aca="1" ref="BR34" ca="1">IF($B34="","",IF(ISBLANK(INDIRECT("R9.Web!D"&amp;SUM(18,38*34,15))),"",INDIRECT("R9.Web!D"&amp;SUM(18,38*34,15))))</f>
        <v>N/D</v>
      </c>
      <c r="BS34" s="215" t="str" cm="1">
        <f t="array" aca="1" ref="BS34" ca="1">IF($B34="","",IF(ISBLANK(INDIRECT("R9.Web!D"&amp;SUM(18,38*35,15))),"",INDIRECT("R9.Web!D"&amp;SUM(18,38*35,15))))</f>
        <v>N/T</v>
      </c>
      <c r="BT34" s="215" t="str" cm="1">
        <f t="array" aca="1" ref="BT34" ca="1">IF($B34="","",IF(ISBLANK(INDIRECT("R9.Web!D"&amp;SUM(18,38*36,15))),"",INDIRECT("R9.Web!D"&amp;SUM(18,38*36,15))))</f>
        <v>N/D</v>
      </c>
      <c r="BU34" s="215" t="str" cm="1">
        <f t="array" aca="1" ref="BU34" ca="1">IF($B34="","",IF(ISBLANK(INDIRECT("R9.Web!D"&amp;SUM(18,38*37,15))),"",INDIRECT("R9.Web!D"&amp;SUM(18,38*37,15))))</f>
        <v>N/D</v>
      </c>
      <c r="BV34" s="215" t="str" cm="1">
        <f t="array" aca="1" ref="BV34" ca="1">IF($B34="","",IF(ISBLANK(INDIRECT("R9.Web!D"&amp;SUM(18,38*38,15))),"",INDIRECT("R9.Web!D"&amp;SUM(18,38*38,15))))</f>
        <v>N/D</v>
      </c>
      <c r="BW34" s="215" t="str" cm="1">
        <f t="array" aca="1" ref="BW34" ca="1">IF($B34="","",IF(ISBLANK(INDIRECT("R9.Web!D"&amp;SUM(18,38*39,15))),"",INDIRECT("R9.Web!D"&amp;SUM(18,38*39,15))))</f>
        <v>N/D</v>
      </c>
      <c r="BX34" s="215" t="str" cm="1">
        <f t="array" aca="1" ref="BX34" ca="1">IF($B34="","",IF(ISBLANK(INDIRECT("R9.Web!D"&amp;SUM(18,38*40,15))),"",INDIRECT("R9.Web!D"&amp;SUM(18,38*40,15))))</f>
        <v>N/D</v>
      </c>
      <c r="BY34" s="215" t="str" cm="1">
        <f t="array" aca="1" ref="BY34" ca="1">IF($B34="","",IF(ISBLANK(INDIRECT("R9.Web!D"&amp;SUM(18,38*41,15))),"",INDIRECT("R9.Web!D"&amp;SUM(18,38*41,15))))</f>
        <v>N/T</v>
      </c>
      <c r="BZ34" s="215" t="str" cm="1">
        <f t="array" aca="1" ref="BZ34" ca="1">IF($B34="","",IF(ISBLANK(INDIRECT("R9.Web!D"&amp;SUM(18,38*42,15))),"",INDIRECT("R9.Web!D"&amp;SUM(18,38*42,15))))</f>
        <v>N/T</v>
      </c>
      <c r="CA34" s="215" t="str" cm="1">
        <f t="array" aca="1" ref="CA34" ca="1">IF($B34="","",IF(ISBLANK(INDIRECT("R9.Web!D"&amp;SUM(18,38*43,15))),"",INDIRECT("R9.Web!D"&amp;SUM(18,38*43,15))))</f>
        <v>N/D</v>
      </c>
      <c r="CB34" s="215" t="str" cm="1">
        <f t="array" aca="1" ref="CB34" ca="1">IF($B34="","",IF(ISBLANK(INDIRECT("R9.Web!D"&amp;SUM(18,38*44,15))),"",INDIRECT("R9.Web!D"&amp;SUM(18,38*44,15))))</f>
        <v>N/T</v>
      </c>
      <c r="CC34" s="215" t="str" cm="1">
        <f t="array" aca="1" ref="CC34" ca="1">IF($B34="","",IF(ISBLANK(INDIRECT("R9.Web!D"&amp;SUM(18,38*45,15))),"",INDIRECT("R9.Web!D"&amp;SUM(18,38*45,15))))</f>
        <v>N/T</v>
      </c>
      <c r="CD34" s="215" t="str" cm="1">
        <f t="array" aca="1" ref="CD34" ca="1">IF($B34="","",IF(ISBLANK(INDIRECT("R9.Web!D"&amp;SUM(18,38*46,15))),"",INDIRECT("R9.Web!D"&amp;SUM(18,38*46,15))))</f>
        <v>N/T</v>
      </c>
      <c r="CE34" s="215" t="str" cm="1">
        <f t="array" aca="1" ref="CE34" ca="1">IF($B34="","",IF(ISBLANK(INDIRECT("R9.Web!D"&amp;SUM(18,38*47,15))),"",INDIRECT("R9.Web!D"&amp;SUM(18,38*47,15))))</f>
        <v>N/D</v>
      </c>
      <c r="CF34" s="215" t="str" cm="1">
        <f t="array" aca="1" ref="CF34" ca="1">IF($B34="","",IF(ISBLANK(INDIRECT("R9.Web!D"&amp;SUM(18,38*48,15))),"",INDIRECT("R9.Web!D"&amp;SUM(18,38*48,15))))</f>
        <v>N/T</v>
      </c>
      <c r="CG34" s="215" t="str" cm="1">
        <f t="array" aca="1" ref="CG34" ca="1">IF($B34="","",IF(ISBLANK(INDIRECT("R9.Web!D"&amp;SUM(18,38*49,15))),"",INDIRECT("R9.Web!D"&amp;SUM(18,38*49,15))))</f>
        <v>N/T</v>
      </c>
      <c r="CH34" s="215" t="str" cm="1">
        <f t="array" aca="1" ref="CH34" ca="1">IF($B34="","",IF(ISBLANK(INDIRECT("R11.Software!D"&amp;SUM(18,38*0,15))),"",INDIRECT("R11.Software!D"&amp;SUM(18,38*0,15))))</f>
        <v>N/T</v>
      </c>
      <c r="CI34" s="215" t="str" cm="1">
        <f t="array" aca="1" ref="CI34" ca="1">IF($B34="","",IF(ISBLANK(INDIRECT("R11.Software!D"&amp;SUM(18,38*1,15))),"",INDIRECT("R11.Software!D"&amp;SUM(18,38*1,15))))</f>
        <v>N/T</v>
      </c>
      <c r="CJ34" s="215" t="str" cm="1">
        <f t="array" aca="1" ref="CJ34" ca="1">IF($B34="","",IF(ISBLANK(INDIRECT("R11.Software!D"&amp;SUM(18,38*2,15))),"",INDIRECT("R11.Software!D"&amp;SUM(18,38*2,15))))</f>
        <v>N/T</v>
      </c>
      <c r="CK34" s="215" t="str" cm="1">
        <f t="array" aca="1" ref="CK34" ca="1">IF($B34="","",IF(ISBLANK(INDIRECT("R11.Software!D"&amp;SUM(18,38*3,15))),"",INDIRECT("R11.Software!D"&amp;SUM(18,38*3,15))))</f>
        <v>N/T</v>
      </c>
      <c r="CL34" s="215" t="str" cm="1">
        <f t="array" aca="1" ref="CL34" ca="1">IF($B34="","",IF(ISBLANK(INDIRECT("R11.Software!D"&amp;SUM(18,38*4,15))),"",INDIRECT("R11.Software!D"&amp;SUM(18,38*4,15))))</f>
        <v>N/T</v>
      </c>
      <c r="CM34" s="215" t="str" cm="1">
        <f t="array" aca="1" ref="CM34" ca="1">IF($B34="","",IF(ISBLANK(INDIRECT("R11.Software!D"&amp;SUM(18,38*5,15))),"",INDIRECT("R11.Software!D"&amp;SUM(18,38*5,15))))</f>
        <v>N/T</v>
      </c>
      <c r="CN34" s="215" t="str" cm="1">
        <f t="array" aca="1" ref="CN34" ca="1">IF($B34="","",IF(ISBLANK(INDIRECT("R12.ServiciosApoyo!D"&amp;SUM(18,38*0,15))),"",INDIRECT("R12.ServiciosApoyo!D"&amp;SUM(18,38*0,15))))</f>
        <v>N/T</v>
      </c>
      <c r="CO34" s="215" t="str" cm="1">
        <f t="array" aca="1" ref="CO34" ca="1">IF($B34="","",IF(ISBLANK(INDIRECT("R12.ServiciosApoyo!D"&amp;SUM(18,38*1,15))),"",INDIRECT("R12.ServiciosApoyo!D"&amp;SUM(18,38*1,15))))</f>
        <v>N/T</v>
      </c>
      <c r="CP34" s="215" t="str" cm="1">
        <f t="array" aca="1" ref="CP34" ca="1">IF($B34="","",IF(ISBLANK(INDIRECT("R12.ServiciosApoyo!D"&amp;SUM(18,38*2,15))),"",INDIRECT("R12.ServiciosApoyo!D"&amp;SUM(18,38*2,15))))</f>
        <v>N/T</v>
      </c>
      <c r="CQ34" s="215" t="str" cm="1">
        <f t="array" aca="1" ref="CQ34" ca="1">IF($B34="","",IF(ISBLANK(INDIRECT("R12.ServiciosApoyo!D"&amp;SUM(18,38*3,15))),"",INDIRECT("R12.ServiciosApoyo!D"&amp;SUM(18,38*3,15))))</f>
        <v>N/T</v>
      </c>
      <c r="CR34" s="215" t="str" cm="1">
        <f t="array" aca="1" ref="CR34" ca="1">IF($B34="","",IF(ISBLANK(INDIRECT("R12.ServiciosApoyo!D"&amp;SUM(18,38*4,15))),"",INDIRECT("R12.ServiciosApoyo!D"&amp;SUM(18,38*4,15))))</f>
        <v>N/T</v>
      </c>
      <c r="CU34" s="100"/>
      <c r="CV34" s="29"/>
      <c r="CW34" s="29"/>
      <c r="CX34" s="29"/>
    </row>
    <row r="35" spans="2:102" ht="20.25">
      <c r="B35" s="181" t="n" cm="1">
        <f t="array" ref="B35">IFERROR(INDEX('03.Muestra'!$B$8:$B$42,SMALL(IF("Página Web"='03.Muestra'!$D$8:$D$42,ROW('03.Muestra'!$B$8:$B$42)-MIN(ROW('03.Muestra'!$D$8:$D$42))+1,""),ROW()-19)),"")</f>
        <v>1.0</v>
      </c>
      <c r="C35" s="97" t="str" cm="1">
        <f t="array" ref="C35">IFERROR(INDEX('03.Muestra'!$C$8:$C$42,SMALL(IF("Página Web"='03.Muestra'!$D$8:$D$42,ROW('03.Muestra'!$C$8:$C$42)-MIN(ROW('03.Muestra'!$D$8:$D$42))+1,""),ROW()-19)),"")</f>
        <v>Home - PortCastelló</v>
      </c>
      <c r="D35" s="98" t="str" cm="1">
        <f t="array" ref="D35">IFERROR(INDEX('03.Muestra'!$F$8:$F$42,SMALL(IF("Página Web"='03.Muestra'!$D$8:$D$42,ROW('03.Muestra'!$F$8:$F$42)-MIN(ROW('03.Muestra'!$D$8:$D$42))+1,""),ROW()-19)),"")</f>
        <v>https://www.portcastello.com/</v>
      </c>
      <c r="E35" s="215" t="str" cm="1">
        <f t="array" aca="1" ref="E35" ca="1">IF($B35="","",IF(ISBLANK(INDIRECT("R5.Genéricos!D"&amp;SUM(18,38*0,16))),"",INDIRECT("R5.Genéricos!D"&amp;SUM(18,38*0,16))))</f>
        <v>N/T</v>
      </c>
      <c r="F35" s="215" t="str" cm="1">
        <f t="array" aca="1" ref="F35" ca="1">IF($B35="","",IF(ISBLANK(INDIRECT("R5.Genéricos!D"&amp;SUM(18,38*1,16))),"",INDIRECT("R5.Genéricos!D"&amp;SUM(18,38*1,16))))</f>
        <v>N/T</v>
      </c>
      <c r="G35" s="215" t="str" cm="1">
        <f t="array" aca="1" ref="G35" ca="1">IF($B35="","",IF(ISBLANK(INDIRECT("R5.Genéricos!D"&amp;SUM(18,38*2,16))),"",INDIRECT("R5.Genéricos!D"&amp;SUM(18,38*2,16))))</f>
        <v>N/T</v>
      </c>
      <c r="H35" s="215" t="str" cm="1">
        <f t="array" aca="1" ref="H35" ca="1">IF($B35="","",IF(ISBLANK(INDIRECT("R6.Voz!D"&amp;SUM(18,38*0,16))),"",INDIRECT("R6.Voz!D"&amp;SUM(18,38*0,16))))</f>
        <v>N/T</v>
      </c>
      <c r="I35" s="215" t="str" cm="1">
        <f t="array" aca="1" ref="I35" ca="1">IF($B35="","",IF(ISBLANK(INDIRECT("R6.Voz!D"&amp;SUM(18,38*1,16))),"",INDIRECT("R6.Voz!D"&amp;SUM(18,38*1,16))))</f>
        <v>N/T</v>
      </c>
      <c r="J35" s="215" t="str" cm="1">
        <f t="array" aca="1" ref="J35" ca="1">IF($B35="","",IF(ISBLANK(INDIRECT("R6.Voz!D"&amp;SUM(18,38*2,16))),"",INDIRECT("R6.Voz!D"&amp;SUM(18,38*2,16))))</f>
        <v>N/T</v>
      </c>
      <c r="K35" s="215" t="str" cm="1">
        <f t="array" aca="1" ref="K35" ca="1">IF($B35="","",IF(ISBLANK(INDIRECT("R6.Voz!D"&amp;SUM(18,38*3,16))),"",INDIRECT("R6.Voz!D"&amp;SUM(18,38*3,16))))</f>
        <v>N/T</v>
      </c>
      <c r="L35" s="215" t="str" cm="1">
        <f t="array" aca="1" ref="L35" ca="1">IF($B35="","",IF(ISBLANK(INDIRECT("R6.Voz!D"&amp;SUM(18,38*4,16))),"",INDIRECT("R6.Voz!D"&amp;SUM(18,38*4,16))))</f>
        <v>N/T</v>
      </c>
      <c r="M35" s="215" t="str" cm="1">
        <f t="array" aca="1" ref="M35" ca="1">IF($B35="","",IF(ISBLANK(INDIRECT("R6.Voz!D"&amp;SUM(18,38*5,16))),"",INDIRECT("R6.Voz!D"&amp;SUM(18,38*5,16))))</f>
        <v>N/T</v>
      </c>
      <c r="N35" s="215" t="str" cm="1">
        <f t="array" aca="1" ref="N35" ca="1">IF($B35="","",IF(ISBLANK(INDIRECT("R6.Voz!D"&amp;SUM(18,38*6,16))),"",INDIRECT("R6.Voz!D"&amp;SUM(18,38*6,16))))</f>
        <v>N/T</v>
      </c>
      <c r="O35" s="215" t="str" cm="1">
        <f t="array" aca="1" ref="O35" ca="1">IF($B35="","",IF(ISBLANK(INDIRECT("R6.Voz!D"&amp;SUM(18,38*7,16))),"",INDIRECT("R6.Voz!D"&amp;SUM(18,38*7,16))))</f>
        <v>N/T</v>
      </c>
      <c r="P35" s="215" t="str" cm="1">
        <f t="array" aca="1" ref="P35" ca="1">IF($B35="","",IF(ISBLANK(INDIRECT("R6.Voz!D"&amp;SUM(18,38*8,16))),"",INDIRECT("R6.Voz!D"&amp;SUM(18,38*8,16))))</f>
        <v>N/T</v>
      </c>
      <c r="Q35" s="215" t="str" cm="1">
        <f t="array" aca="1" ref="Q35" ca="1">IF($B35="","",IF(ISBLANK(INDIRECT("R6.Voz!D"&amp;SUM(18,38*9,16))),"",INDIRECT("R6.Voz!D"&amp;SUM(18,38*9,16))))</f>
        <v>N/T</v>
      </c>
      <c r="R35" s="215" t="str" cm="1">
        <f t="array" aca="1" ref="R35" ca="1">IF($B35="","",IF(ISBLANK(INDIRECT("R6.Voz!D"&amp;SUM(18,38*10,16))),"",INDIRECT("R6.Voz!D"&amp;SUM(18,38*10,16))))</f>
        <v>N/T</v>
      </c>
      <c r="S35" s="215" t="str" cm="1">
        <f t="array" aca="1" ref="S35" ca="1">IF($B35="","",IF(ISBLANK(INDIRECT("R6.Voz!D"&amp;SUM(18,38*11,16))),"",INDIRECT("R6.Voz!D"&amp;SUM(18,38*11,16))))</f>
        <v>N/T</v>
      </c>
      <c r="T35" s="215" t="str" cm="1">
        <f t="array" aca="1" ref="T35" ca="1">IF($B35="","",IF(ISBLANK(INDIRECT("R6.Voz!D"&amp;SUM(18,38*12,16))),"",INDIRECT("R6.Voz!D"&amp;SUM(18,38*12,16))))</f>
        <v>N/T</v>
      </c>
      <c r="U35" s="215" t="str" cm="1">
        <f t="array" aca="1" ref="U35" ca="1">IF($B35="","",IF(ISBLANK(INDIRECT("R6.Voz!D"&amp;SUM(18,38*13,16))),"",INDIRECT("R6.Voz!D"&amp;SUM(18,38*13,16))))</f>
        <v>N/T</v>
      </c>
      <c r="V35" s="215" t="str" cm="1">
        <f t="array" aca="1" ref="V35" ca="1">IF($B35="","",IF(ISBLANK(INDIRECT("R6.Voz!D"&amp;SUM(18,38*14,16))),"",INDIRECT("R6.Voz!D"&amp;SUM(18,38*14,16))))</f>
        <v>N/T</v>
      </c>
      <c r="W35" s="215" t="str" cm="1">
        <f t="array" aca="1" ref="W35" ca="1">IF($B35="","",IF(ISBLANK(INDIRECT("R6.Voz!D"&amp;SUM(18,38*15,16))),"",INDIRECT("R6.Voz!D"&amp;SUM(18,38*15,16))))</f>
        <v>N/T</v>
      </c>
      <c r="X35" s="215" t="str" cm="1">
        <f t="array" aca="1" ref="X35" ca="1">IF($B35="","",IF(ISBLANK(INDIRECT("R6.Voz!D"&amp;SUM(18,38*16,16))),"",INDIRECT("R6.Voz!D"&amp;SUM(18,38*16,16))))</f>
        <v>N/T</v>
      </c>
      <c r="Y35" s="215" t="str" cm="1">
        <f t="array" aca="1" ref="Y35" ca="1">IF($B35="","",IF(ISBLANK(INDIRECT("R6.Voz!D"&amp;SUM(18,38*17,16))),"",INDIRECT("R6.Voz!D"&amp;SUM(18,38*17,16))))</f>
        <v>N/T</v>
      </c>
      <c r="Z35" s="215" t="str" cm="1">
        <f t="array" aca="1" ref="Z35" ca="1">IF($B35="","",IF(ISBLANK(INDIRECT("R6.Voz!D"&amp;SUM(18,38*18,16))),"",INDIRECT("R6.Voz!D"&amp;SUM(18,38*18,16))))</f>
        <v>N/T</v>
      </c>
      <c r="AA35" s="215" t="str" cm="1">
        <f t="array" aca="1" ref="AA35" ca="1">IF($B35="","",IF(ISBLANK(INDIRECT("R7.Video!D"&amp;SUM(18,38*0,16))),"",INDIRECT("R7.Video!D"&amp;SUM(18,38*0,16))))</f>
        <v>N/T</v>
      </c>
      <c r="AB35" s="215" t="str" cm="1">
        <f t="array" aca="1" ref="AB35" ca="1">IF($B35="","",IF(ISBLANK(INDIRECT("R7.Video!D"&amp;SUM(18,38*1,16))),"",INDIRECT("R7.Video!D"&amp;SUM(18,38*1,16))))</f>
        <v>N/T</v>
      </c>
      <c r="AC35" s="215" t="str" cm="1">
        <f t="array" aca="1" ref="AC35" ca="1">IF($B35="","",IF(ISBLANK(INDIRECT("R7.Video!D"&amp;SUM(18,38*2,16))),"",INDIRECT("R7.Video!D"&amp;SUM(18,38*2,16))))</f>
        <v>N/T</v>
      </c>
      <c r="AD35" s="215" t="str" cm="1">
        <f t="array" aca="1" ref="AD35" ca="1">IF($B35="","",IF(ISBLANK(INDIRECT("R7.Video!D"&amp;SUM(18,38*3,16))),"",INDIRECT("R7.Video!D"&amp;SUM(18,38*3,16))))</f>
        <v>N/T</v>
      </c>
      <c r="AE35" s="215" t="str" cm="1">
        <f t="array" aca="1" ref="AE35" ca="1">IF($B35="","",IF(ISBLANK(INDIRECT("R7.Video!D"&amp;SUM(18,38*4,16))),"",INDIRECT("R7.Video!D"&amp;SUM(18,38*4,16))))</f>
        <v>N/T</v>
      </c>
      <c r="AF35" s="215" t="str" cm="1">
        <f t="array" aca="1" ref="AF35" ca="1">IF($B35="","",IF(ISBLANK(INDIRECT("R7.Video!D"&amp;SUM(18,38*5,16))),"",INDIRECT("R7.Video!D"&amp;SUM(18,38*5,16))))</f>
        <v>N/T</v>
      </c>
      <c r="AG35" s="215" t="str" cm="1">
        <f t="array" aca="1" ref="AG35" ca="1">IF($B35="","",IF(ISBLANK(INDIRECT("R7.Video!D"&amp;SUM(18,38*6,16))),"",INDIRECT("R7.Video!D"&amp;SUM(18,38*6,16))))</f>
        <v>N/T</v>
      </c>
      <c r="AH35" s="215" t="str" cm="1">
        <f t="array" aca="1" ref="AH35" ca="1">IF($B35="","",IF(ISBLANK(INDIRECT("R7.Video!D"&amp;SUM(18,38*7,16))),"",INDIRECT("R7.Video!D"&amp;SUM(18,38*7,16))))</f>
        <v>N/T</v>
      </c>
      <c r="AI35" s="215" t="str" cm="1">
        <f t="array" aca="1" ref="AI35" ca="1">IF($B35="","",IF(ISBLANK(INDIRECT("R7.Video!D"&amp;SUM(18,38*8,16))),"",INDIRECT("R7.Video!D"&amp;SUM(18,38*8,16))))</f>
        <v>N/T</v>
      </c>
      <c r="AJ35" s="215" t="str" cm="1">
        <f t="array" aca="1" ref="AJ35" ca="1">IF($B35="","",IF(ISBLANK(INDIRECT("R9.Web!D"&amp;SUM(18,38*0,16))),"",INDIRECT("R9.Web!D"&amp;SUM(18,38*0,16))))</f>
        <v>N/D</v>
      </c>
      <c r="AK35" s="215" t="str" cm="1">
        <f t="array" aca="1" ref="AK35" ca="1">IF($B35="","",IF(ISBLANK(INDIRECT("R9.Web!D"&amp;SUM(18,38*1,16))),"",INDIRECT("R9.Web!D"&amp;SUM(18,38*1,16))))</f>
        <v>N/T</v>
      </c>
      <c r="AL35" s="215" t="str" cm="1">
        <f t="array" aca="1" ref="AL35" ca="1">IF($B35="","",IF(ISBLANK(INDIRECT("R9.Web!D"&amp;SUM(18,38*2,16))),"",INDIRECT("R9.Web!D"&amp;SUM(18,38*2,16))))</f>
        <v>N/T</v>
      </c>
      <c r="AM35" s="215" t="str" cm="1">
        <f t="array" aca="1" ref="AM35" ca="1">IF($B35="","",IF(ISBLANK(INDIRECT("R9.Web!D"&amp;SUM(18,38*3,16))),"",INDIRECT("R9.Web!D"&amp;SUM(18,38*3,16))))</f>
        <v>N/T</v>
      </c>
      <c r="AN35" s="215" t="str" cm="1">
        <f t="array" aca="1" ref="AN35" ca="1">IF($B35="","",IF(ISBLANK(INDIRECT("R9.Web!D"&amp;SUM(18,38*4,16))),"",INDIRECT("R9.Web!D"&amp;SUM(18,38*4,16))))</f>
        <v>N/T</v>
      </c>
      <c r="AO35" s="215" t="str" cm="1">
        <f t="array" aca="1" ref="AO35" ca="1">IF($B35="","",IF(ISBLANK(INDIRECT("R9.Web!D"&amp;SUM(18,38*5,16))),"",INDIRECT("R9.Web!D"&amp;SUM(18,38*5,16))))</f>
        <v>N/D</v>
      </c>
      <c r="AP35" s="215" t="str" cm="1">
        <f t="array" aca="1" ref="AP35" ca="1">IF($B35="","",IF(ISBLANK(INDIRECT("R9.Web!D"&amp;SUM(18,38*6,16))),"",INDIRECT("R9.Web!D"&amp;SUM(18,38*6,16))))</f>
        <v>N/T</v>
      </c>
      <c r="AQ35" s="215" t="str" cm="1">
        <f t="array" aca="1" ref="AQ35" ca="1">IF($B35="","",IF(ISBLANK(INDIRECT("R9.Web!D"&amp;SUM(18,38*7,16))),"",INDIRECT("R9.Web!D"&amp;SUM(18,38*7,16))))</f>
        <v>N/T</v>
      </c>
      <c r="AR35" s="215" t="str" cm="1">
        <f t="array" aca="1" ref="AR35" ca="1">IF($B35="","",IF(ISBLANK(INDIRECT("R9.Web!D"&amp;SUM(18,38*8,16))),"",INDIRECT("R9.Web!D"&amp;SUM(18,38*8,16))))</f>
        <v>N/D</v>
      </c>
      <c r="AS35" s="215" t="str" cm="1">
        <f t="array" aca="1" ref="AS35" ca="1">IF($B35="","",IF(ISBLANK(INDIRECT("R9.Web!D"&amp;SUM(18,38*9,16))),"",INDIRECT("R9.Web!D"&amp;SUM(18,38*9,16))))</f>
        <v>N/D</v>
      </c>
      <c r="AT35" s="215" t="str" cm="1">
        <f t="array" aca="1" ref="AT35" ca="1">IF($B35="","",IF(ISBLANK(INDIRECT("R9.Web!D"&amp;SUM(18,38*10,16))),"",INDIRECT("R9.Web!D"&amp;SUM(18,38*10,16))))</f>
        <v>N/T</v>
      </c>
      <c r="AU35" s="215" t="str" cm="1">
        <f t="array" aca="1" ref="AU35" ca="1">IF($B35="","",IF(ISBLANK(INDIRECT("R9.Web!D"&amp;SUM(18,38*11,16))),"",INDIRECT("R9.Web!D"&amp;SUM(18,38*11,16))))</f>
        <v>N/T</v>
      </c>
      <c r="AV35" s="215" t="str" cm="1">
        <f t="array" aca="1" ref="AV35" ca="1">IF($B35="","",IF(ISBLANK(INDIRECT("R9.Web!D"&amp;SUM(18,38*12,16))),"",INDIRECT("R9.Web!D"&amp;SUM(18,38*12,16))))</f>
        <v>N/D</v>
      </c>
      <c r="AW35" s="215" t="str" cm="1">
        <f t="array" aca="1" ref="AW35" ca="1">IF($B35="","",IF(ISBLANK(INDIRECT("R9.Web!D"&amp;SUM(18,38*13,16))),"",INDIRECT("R9.Web!D"&amp;SUM(18,38*13,16))))</f>
        <v>N/T</v>
      </c>
      <c r="AX35" s="215" t="str" cm="1">
        <f t="array" aca="1" ref="AX35" ca="1">IF($B35="","",IF(ISBLANK(INDIRECT("R9.Web!D"&amp;SUM(18,38*14,16))),"",INDIRECT("R9.Web!D"&amp;SUM(18,38*14,16))))</f>
        <v>N/T</v>
      </c>
      <c r="AY35" s="215" t="str" cm="1">
        <f t="array" aca="1" ref="AY35" ca="1">IF($B35="","",IF(ISBLANK(INDIRECT("R9.Web!D"&amp;SUM(18,38*15,16))),"",INDIRECT("R9.Web!D"&amp;SUM(18,38*15,16))))</f>
        <v>N/D</v>
      </c>
      <c r="AZ35" s="215" t="str" cm="1">
        <f t="array" aca="1" ref="AZ35" ca="1">IF($B35="","",IF(ISBLANK(INDIRECT("R9.Web!D"&amp;SUM(18,38*16,16))),"",INDIRECT("R9.Web!D"&amp;SUM(18,38*16,16))))</f>
        <v>N/T</v>
      </c>
      <c r="BA35" s="215" t="str" cm="1">
        <f t="array" aca="1" ref="BA35" ca="1">IF($B35="","",IF(ISBLANK(INDIRECT("R9.Web!D"&amp;SUM(18,38*17,16))),"",INDIRECT("R9.Web!D"&amp;SUM(18,38*17,16))))</f>
        <v>N/D</v>
      </c>
      <c r="BB35" s="215" t="str" cm="1">
        <f t="array" aca="1" ref="BB35" ca="1">IF($B35="","",IF(ISBLANK(INDIRECT("R9.Web!D"&amp;SUM(18,38*18,16))),"",INDIRECT("R9.Web!D"&amp;SUM(18,38*18,16))))</f>
        <v>N/T</v>
      </c>
      <c r="BC35" s="215" t="str" cm="1">
        <f t="array" aca="1" ref="BC35" ca="1">IF($B35="","",IF(ISBLANK(INDIRECT("R9.Web!D"&amp;SUM(18,38*19,16))),"",INDIRECT("R9.Web!D"&amp;SUM(18,38*19,16))))</f>
        <v>N/D</v>
      </c>
      <c r="BD35" s="215" t="str" cm="1">
        <f t="array" aca="1" ref="BD35" ca="1">IF($B35="","",IF(ISBLANK(INDIRECT("R9.Web!D"&amp;SUM(18,38*20,16))),"",INDIRECT("R9.Web!D"&amp;SUM(18,38*20,16))))</f>
        <v>N/T</v>
      </c>
      <c r="BE35" s="215" t="str" cm="1">
        <f t="array" aca="1" ref="BE35" ca="1">IF($B35="","",IF(ISBLANK(INDIRECT("R9.Web!D"&amp;SUM(18,38*21,16))),"",INDIRECT("R9.Web!D"&amp;SUM(18,38*21,16))))</f>
        <v>N/T</v>
      </c>
      <c r="BF35" s="215" t="str" cm="1">
        <f t="array" aca="1" ref="BF35" ca="1">IF($B35="","",IF(ISBLANK(INDIRECT("R9.Web!D"&amp;SUM(18,38*22,16))),"",INDIRECT("R9.Web!D"&amp;SUM(18,38*22,16))))</f>
        <v>N/D</v>
      </c>
      <c r="BG35" s="215" t="str" cm="1">
        <f t="array" aca="1" ref="BG35" ca="1">IF($B35="","",IF(ISBLANK(INDIRECT("R9.Web!D"&amp;SUM(18,38*23,16))),"",INDIRECT("R9.Web!D"&amp;SUM(18,38*23,16))))</f>
        <v>N/D</v>
      </c>
      <c r="BH35" s="215" t="str" cm="1">
        <f t="array" aca="1" ref="BH35" ca="1">IF($B35="","",IF(ISBLANK(INDIRECT("R9.Web!D"&amp;SUM(18,38*24,16))),"",INDIRECT("R9.Web!D"&amp;SUM(18,38*24,16))))</f>
        <v>N/T</v>
      </c>
      <c r="BI35" s="215" t="str" cm="1">
        <f t="array" aca="1" ref="BI35" ca="1">IF($B35="","",IF(ISBLANK(INDIRECT("R9.Web!D"&amp;SUM(18,38*25,16))),"",INDIRECT("R9.Web!D"&amp;SUM(18,38*25,16))))</f>
        <v>N/D</v>
      </c>
      <c r="BJ35" s="215" t="str" cm="1">
        <f t="array" aca="1" ref="BJ35" ca="1">IF($B35="","",IF(ISBLANK(INDIRECT("R9.Web!D"&amp;SUM(18,38*26,16))),"",INDIRECT("R9.Web!D"&amp;SUM(18,38*26,16))))</f>
        <v>N/D</v>
      </c>
      <c r="BK35" s="215" t="str" cm="1">
        <f t="array" aca="1" ref="BK35" ca="1">IF($B35="","",IF(ISBLANK(INDIRECT("R9.Web!D"&amp;SUM(18,38*27,16))),"",INDIRECT("R9.Web!D"&amp;SUM(18,38*27,16))))</f>
        <v>N/D</v>
      </c>
      <c r="BL35" s="215" t="str" cm="1">
        <f t="array" aca="1" ref="BL35" ca="1">IF($B35="","",IF(ISBLANK(INDIRECT("R9.Web!D"&amp;SUM(18,38*28,16))),"",INDIRECT("R9.Web!D"&amp;SUM(18,38*28,16))))</f>
        <v>N/D</v>
      </c>
      <c r="BM35" s="215" t="str" cm="1">
        <f t="array" aca="1" ref="BM35" ca="1">IF($B35="","",IF(ISBLANK(INDIRECT("R9.Web!D"&amp;SUM(18,38*29,16))),"",INDIRECT("R9.Web!D"&amp;SUM(18,38*29,16))))</f>
        <v>N/D</v>
      </c>
      <c r="BN35" s="215" t="str" cm="1">
        <f t="array" aca="1" ref="BN35" ca="1">IF($B35="","",IF(ISBLANK(INDIRECT("R9.Web!D"&amp;SUM(18,38*30,16))),"",INDIRECT("R9.Web!D"&amp;SUM(18,38*30,16))))</f>
        <v>N/T</v>
      </c>
      <c r="BO35" s="215" t="str" cm="1">
        <f t="array" aca="1" ref="BO35" ca="1">IF($B35="","",IF(ISBLANK(INDIRECT("R9.Web!D"&amp;SUM(18,38*31,16))),"",INDIRECT("R9.Web!D"&amp;SUM(18,38*31,16))))</f>
        <v>N/D</v>
      </c>
      <c r="BP35" s="215" t="str" cm="1">
        <f t="array" aca="1" ref="BP35" ca="1">IF($B35="","",IF(ISBLANK(INDIRECT("R9.Web!D"&amp;SUM(18,38*32,16))),"",INDIRECT("R9.Web!D"&amp;SUM(18,38*32,16))))</f>
        <v>N/T</v>
      </c>
      <c r="BQ35" s="215" t="str" cm="1">
        <f t="array" aca="1" ref="BQ35" ca="1">IF($B35="","",IF(ISBLANK(INDIRECT("R9.Web!D"&amp;SUM(18,38*33,16))),"",INDIRECT("R9.Web!D"&amp;SUM(18,38*33,16))))</f>
        <v>N/T</v>
      </c>
      <c r="BR35" s="215" t="str" cm="1">
        <f t="array" aca="1" ref="BR35" ca="1">IF($B35="","",IF(ISBLANK(INDIRECT("R9.Web!D"&amp;SUM(18,38*34,16))),"",INDIRECT("R9.Web!D"&amp;SUM(18,38*34,16))))</f>
        <v>N/D</v>
      </c>
      <c r="BS35" s="215" t="str" cm="1">
        <f t="array" aca="1" ref="BS35" ca="1">IF($B35="","",IF(ISBLANK(INDIRECT("R9.Web!D"&amp;SUM(18,38*35,16))),"",INDIRECT("R9.Web!D"&amp;SUM(18,38*35,16))))</f>
        <v>N/T</v>
      </c>
      <c r="BT35" s="215" t="str" cm="1">
        <f t="array" aca="1" ref="BT35" ca="1">IF($B35="","",IF(ISBLANK(INDIRECT("R9.Web!D"&amp;SUM(18,38*36,16))),"",INDIRECT("R9.Web!D"&amp;SUM(18,38*36,16))))</f>
        <v>N/D</v>
      </c>
      <c r="BU35" s="215" t="str" cm="1">
        <f t="array" aca="1" ref="BU35" ca="1">IF($B35="","",IF(ISBLANK(INDIRECT("R9.Web!D"&amp;SUM(18,38*37,16))),"",INDIRECT("R9.Web!D"&amp;SUM(18,38*37,16))))</f>
        <v>N/D</v>
      </c>
      <c r="BV35" s="215" t="str" cm="1">
        <f t="array" aca="1" ref="BV35" ca="1">IF($B35="","",IF(ISBLANK(INDIRECT("R9.Web!D"&amp;SUM(18,38*38,16))),"",INDIRECT("R9.Web!D"&amp;SUM(18,38*38,16))))</f>
        <v>N/D</v>
      </c>
      <c r="BW35" s="215" t="str" cm="1">
        <f t="array" aca="1" ref="BW35" ca="1">IF($B35="","",IF(ISBLANK(INDIRECT("R9.Web!D"&amp;SUM(18,38*39,16))),"",INDIRECT("R9.Web!D"&amp;SUM(18,38*39,16))))</f>
        <v>N/D</v>
      </c>
      <c r="BX35" s="215" t="str" cm="1">
        <f t="array" aca="1" ref="BX35" ca="1">IF($B35="","",IF(ISBLANK(INDIRECT("R9.Web!D"&amp;SUM(18,38*40,16))),"",INDIRECT("R9.Web!D"&amp;SUM(18,38*40,16))))</f>
        <v>N/D</v>
      </c>
      <c r="BY35" s="215" t="str" cm="1">
        <f t="array" aca="1" ref="BY35" ca="1">IF($B35="","",IF(ISBLANK(INDIRECT("R9.Web!D"&amp;SUM(18,38*41,16))),"",INDIRECT("R9.Web!D"&amp;SUM(18,38*41,16))))</f>
        <v>N/T</v>
      </c>
      <c r="BZ35" s="215" t="str" cm="1">
        <f t="array" aca="1" ref="BZ35" ca="1">IF($B35="","",IF(ISBLANK(INDIRECT("R9.Web!D"&amp;SUM(18,38*42,16))),"",INDIRECT("R9.Web!D"&amp;SUM(18,38*42,16))))</f>
        <v>N/T</v>
      </c>
      <c r="CA35" s="215" t="str" cm="1">
        <f t="array" aca="1" ref="CA35" ca="1">IF($B35="","",IF(ISBLANK(INDIRECT("R9.Web!D"&amp;SUM(18,38*43,16))),"",INDIRECT("R9.Web!D"&amp;SUM(18,38*43,16))))</f>
        <v>N/D</v>
      </c>
      <c r="CB35" s="215" t="str" cm="1">
        <f t="array" aca="1" ref="CB35" ca="1">IF($B35="","",IF(ISBLANK(INDIRECT("R9.Web!D"&amp;SUM(18,38*44,16))),"",INDIRECT("R9.Web!D"&amp;SUM(18,38*44,16))))</f>
        <v>N/T</v>
      </c>
      <c r="CC35" s="215" t="str" cm="1">
        <f t="array" aca="1" ref="CC35" ca="1">IF($B35="","",IF(ISBLANK(INDIRECT("R9.Web!D"&amp;SUM(18,38*45,16))),"",INDIRECT("R9.Web!D"&amp;SUM(18,38*45,16))))</f>
        <v>N/T</v>
      </c>
      <c r="CD35" s="215" t="str" cm="1">
        <f t="array" aca="1" ref="CD35" ca="1">IF($B35="","",IF(ISBLANK(INDIRECT("R9.Web!D"&amp;SUM(18,38*46,16))),"",INDIRECT("R9.Web!D"&amp;SUM(18,38*46,16))))</f>
        <v>N/T</v>
      </c>
      <c r="CE35" s="215" t="str" cm="1">
        <f t="array" aca="1" ref="CE35" ca="1">IF($B35="","",IF(ISBLANK(INDIRECT("R9.Web!D"&amp;SUM(18,38*47,16))),"",INDIRECT("R9.Web!D"&amp;SUM(18,38*47,16))))</f>
        <v>N/D</v>
      </c>
      <c r="CF35" s="215" t="str" cm="1">
        <f t="array" aca="1" ref="CF35" ca="1">IF($B35="","",IF(ISBLANK(INDIRECT("R9.Web!D"&amp;SUM(18,38*48,16))),"",INDIRECT("R9.Web!D"&amp;SUM(18,38*48,16))))</f>
        <v>N/T</v>
      </c>
      <c r="CG35" s="215" t="str" cm="1">
        <f t="array" aca="1" ref="CG35" ca="1">IF($B35="","",IF(ISBLANK(INDIRECT("R9.Web!D"&amp;SUM(18,38*49,16))),"",INDIRECT("R9.Web!D"&amp;SUM(18,38*49,16))))</f>
        <v>N/T</v>
      </c>
      <c r="CH35" s="215" t="str" cm="1">
        <f t="array" aca="1" ref="CH35" ca="1">IF($B35="","",IF(ISBLANK(INDIRECT("R11.Software!D"&amp;SUM(18,38*0,16))),"",INDIRECT("R11.Software!D"&amp;SUM(18,38*0,16))))</f>
        <v>N/T</v>
      </c>
      <c r="CI35" s="215" t="str" cm="1">
        <f t="array" aca="1" ref="CI35" ca="1">IF($B35="","",IF(ISBLANK(INDIRECT("R11.Software!D"&amp;SUM(18,38*1,16))),"",INDIRECT("R11.Software!D"&amp;SUM(18,38*1,16))))</f>
        <v>N/T</v>
      </c>
      <c r="CJ35" s="215" t="str" cm="1">
        <f t="array" aca="1" ref="CJ35" ca="1">IF($B35="","",IF(ISBLANK(INDIRECT("R11.Software!D"&amp;SUM(18,38*2,16))),"",INDIRECT("R11.Software!D"&amp;SUM(18,38*2,16))))</f>
        <v>N/T</v>
      </c>
      <c r="CK35" s="215" t="str" cm="1">
        <f t="array" aca="1" ref="CK35" ca="1">IF($B35="","",IF(ISBLANK(INDIRECT("R11.Software!D"&amp;SUM(18,38*3,16))),"",INDIRECT("R11.Software!D"&amp;SUM(18,38*3,16))))</f>
        <v>N/T</v>
      </c>
      <c r="CL35" s="215" t="str" cm="1">
        <f t="array" aca="1" ref="CL35" ca="1">IF($B35="","",IF(ISBLANK(INDIRECT("R11.Software!D"&amp;SUM(18,38*4,16))),"",INDIRECT("R11.Software!D"&amp;SUM(18,38*4,16))))</f>
        <v>N/T</v>
      </c>
      <c r="CM35" s="215" t="str" cm="1">
        <f t="array" aca="1" ref="CM35" ca="1">IF($B35="","",IF(ISBLANK(INDIRECT("R11.Software!D"&amp;SUM(18,38*5,16))),"",INDIRECT("R11.Software!D"&amp;SUM(18,38*5,16))))</f>
        <v>N/T</v>
      </c>
      <c r="CN35" s="215" t="str" cm="1">
        <f t="array" aca="1" ref="CN35" ca="1">IF($B35="","",IF(ISBLANK(INDIRECT("R12.ServiciosApoyo!D"&amp;SUM(18,38*0,16))),"",INDIRECT("R12.ServiciosApoyo!D"&amp;SUM(18,38*0,16))))</f>
        <v>N/T</v>
      </c>
      <c r="CO35" s="215" t="str" cm="1">
        <f t="array" aca="1" ref="CO35" ca="1">IF($B35="","",IF(ISBLANK(INDIRECT("R12.ServiciosApoyo!D"&amp;SUM(18,38*1,16))),"",INDIRECT("R12.ServiciosApoyo!D"&amp;SUM(18,38*1,16))))</f>
        <v>N/T</v>
      </c>
      <c r="CP35" s="215" t="str" cm="1">
        <f t="array" aca="1" ref="CP35" ca="1">IF($B35="","",IF(ISBLANK(INDIRECT("R12.ServiciosApoyo!D"&amp;SUM(18,38*2,16))),"",INDIRECT("R12.ServiciosApoyo!D"&amp;SUM(18,38*2,16))))</f>
        <v>N/T</v>
      </c>
      <c r="CQ35" s="215" t="str" cm="1">
        <f t="array" aca="1" ref="CQ35" ca="1">IF($B35="","",IF(ISBLANK(INDIRECT("R12.ServiciosApoyo!D"&amp;SUM(18,38*3,16))),"",INDIRECT("R12.ServiciosApoyo!D"&amp;SUM(18,38*3,16))))</f>
        <v>N/T</v>
      </c>
      <c r="CR35" s="215" t="str" cm="1">
        <f t="array" aca="1" ref="CR35" ca="1">IF($B35="","",IF(ISBLANK(INDIRECT("R12.ServiciosApoyo!D"&amp;SUM(18,38*4,16))),"",INDIRECT("R12.ServiciosApoyo!D"&amp;SUM(18,38*4,16))))</f>
        <v>N/T</v>
      </c>
      <c r="CU35" s="100"/>
      <c r="CV35" s="29"/>
      <c r="CW35" s="29"/>
      <c r="CX35" s="29"/>
    </row>
    <row r="36" spans="2:102" ht="20.25">
      <c r="B36" s="181" t="n" cm="1">
        <f t="array" ref="B36">IFERROR(INDEX('03.Muestra'!$B$8:$B$42,SMALL(IF("Página Web"='03.Muestra'!$D$8:$D$42,ROW('03.Muestra'!$B$8:$B$42)-MIN(ROW('03.Muestra'!$D$8:$D$42))+1,""),ROW()-19)),"")</f>
        <v>1.0</v>
      </c>
      <c r="C36" s="97" t="str" cm="1">
        <f t="array" ref="C36">IFERROR(INDEX('03.Muestra'!$C$8:$C$42,SMALL(IF("Página Web"='03.Muestra'!$D$8:$D$42,ROW('03.Muestra'!$C$8:$C$42)-MIN(ROW('03.Muestra'!$D$8:$D$42))+1,""),ROW()-19)),"")</f>
        <v>Home - PortCastelló</v>
      </c>
      <c r="D36" s="98" t="str" cm="1">
        <f t="array" ref="D36">IFERROR(INDEX('03.Muestra'!$F$8:$F$42,SMALL(IF("Página Web"='03.Muestra'!$D$8:$D$42,ROW('03.Muestra'!$F$8:$F$42)-MIN(ROW('03.Muestra'!$D$8:$D$42))+1,""),ROW()-19)),"")</f>
        <v>https://www.portcastello.com/</v>
      </c>
      <c r="E36" s="215" t="str" cm="1">
        <f t="array" aca="1" ref="E36" ca="1">IF($B36="","",IF(ISBLANK(INDIRECT("R5.Genéricos!D"&amp;SUM(18,38*0,17))),"",INDIRECT("R5.Genéricos!D"&amp;SUM(18,38*0,17))))</f>
        <v>N/T</v>
      </c>
      <c r="F36" s="215" t="str" cm="1">
        <f t="array" aca="1" ref="F36" ca="1">IF($B36="","",IF(ISBLANK(INDIRECT("R5.Genéricos!D"&amp;SUM(18,38*1,17))),"",INDIRECT("R5.Genéricos!D"&amp;SUM(18,38*1,17))))</f>
        <v>N/T</v>
      </c>
      <c r="G36" s="215" t="str" cm="1">
        <f t="array" aca="1" ref="G36" ca="1">IF($B36="","",IF(ISBLANK(INDIRECT("R5.Genéricos!D"&amp;SUM(18,38*2,17))),"",INDIRECT("R5.Genéricos!D"&amp;SUM(18,38*2,17))))</f>
        <v>N/T</v>
      </c>
      <c r="H36" s="215" t="str" cm="1">
        <f t="array" aca="1" ref="H36" ca="1">IF($B36="","",IF(ISBLANK(INDIRECT("R6.Voz!D"&amp;SUM(18,38*0,17))),"",INDIRECT("R6.Voz!D"&amp;SUM(18,38*0,17))))</f>
        <v>N/T</v>
      </c>
      <c r="I36" s="215" t="str" cm="1">
        <f t="array" aca="1" ref="I36" ca="1">IF($B36="","",IF(ISBLANK(INDIRECT("R6.Voz!D"&amp;SUM(18,38*1,17))),"",INDIRECT("R6.Voz!D"&amp;SUM(18,38*1,17))))</f>
        <v>N/T</v>
      </c>
      <c r="J36" s="215" t="str" cm="1">
        <f t="array" aca="1" ref="J36" ca="1">IF($B36="","",IF(ISBLANK(INDIRECT("R6.Voz!D"&amp;SUM(18,38*2,17))),"",INDIRECT("R6.Voz!D"&amp;SUM(18,38*2,17))))</f>
        <v>N/T</v>
      </c>
      <c r="K36" s="215" t="str" cm="1">
        <f t="array" aca="1" ref="K36" ca="1">IF($B36="","",IF(ISBLANK(INDIRECT("R6.Voz!D"&amp;SUM(18,38*3,17))),"",INDIRECT("R6.Voz!D"&amp;SUM(18,38*3,17))))</f>
        <v>N/T</v>
      </c>
      <c r="L36" s="215" t="str" cm="1">
        <f t="array" aca="1" ref="L36" ca="1">IF($B36="","",IF(ISBLANK(INDIRECT("R6.Voz!D"&amp;SUM(18,38*4,17))),"",INDIRECT("R6.Voz!D"&amp;SUM(18,38*4,17))))</f>
        <v>N/T</v>
      </c>
      <c r="M36" s="215" t="str" cm="1">
        <f t="array" aca="1" ref="M36" ca="1">IF($B36="","",IF(ISBLANK(INDIRECT("R6.Voz!D"&amp;SUM(18,38*5,17))),"",INDIRECT("R6.Voz!D"&amp;SUM(18,38*5,17))))</f>
        <v>N/T</v>
      </c>
      <c r="N36" s="215" t="str" cm="1">
        <f t="array" aca="1" ref="N36" ca="1">IF($B36="","",IF(ISBLANK(INDIRECT("R6.Voz!D"&amp;SUM(18,38*6,17))),"",INDIRECT("R6.Voz!D"&amp;SUM(18,38*6,17))))</f>
        <v>N/T</v>
      </c>
      <c r="O36" s="215" t="str" cm="1">
        <f t="array" aca="1" ref="O36" ca="1">IF($B36="","",IF(ISBLANK(INDIRECT("R6.Voz!D"&amp;SUM(18,38*7,17))),"",INDIRECT("R6.Voz!D"&amp;SUM(18,38*7,17))))</f>
        <v>N/T</v>
      </c>
      <c r="P36" s="215" t="str" cm="1">
        <f t="array" aca="1" ref="P36" ca="1">IF($B36="","",IF(ISBLANK(INDIRECT("R6.Voz!D"&amp;SUM(18,38*8,17))),"",INDIRECT("R6.Voz!D"&amp;SUM(18,38*8,17))))</f>
        <v>N/T</v>
      </c>
      <c r="Q36" s="215" t="str" cm="1">
        <f t="array" aca="1" ref="Q36" ca="1">IF($B36="","",IF(ISBLANK(INDIRECT("R6.Voz!D"&amp;SUM(18,38*9,17))),"",INDIRECT("R6.Voz!D"&amp;SUM(18,38*9,17))))</f>
        <v>N/T</v>
      </c>
      <c r="R36" s="215" t="str" cm="1">
        <f t="array" aca="1" ref="R36" ca="1">IF($B36="","",IF(ISBLANK(INDIRECT("R6.Voz!D"&amp;SUM(18,38*10,17))),"",INDIRECT("R6.Voz!D"&amp;SUM(18,38*10,17))))</f>
        <v>N/T</v>
      </c>
      <c r="S36" s="215" t="str" cm="1">
        <f t="array" aca="1" ref="S36" ca="1">IF($B36="","",IF(ISBLANK(INDIRECT("R6.Voz!D"&amp;SUM(18,38*11,17))),"",INDIRECT("R6.Voz!D"&amp;SUM(18,38*11,17))))</f>
        <v>N/T</v>
      </c>
      <c r="T36" s="215" t="str" cm="1">
        <f t="array" aca="1" ref="T36" ca="1">IF($B36="","",IF(ISBLANK(INDIRECT("R6.Voz!D"&amp;SUM(18,38*12,17))),"",INDIRECT("R6.Voz!D"&amp;SUM(18,38*12,17))))</f>
        <v>N/T</v>
      </c>
      <c r="U36" s="215" t="str" cm="1">
        <f t="array" aca="1" ref="U36" ca="1">IF($B36="","",IF(ISBLANK(INDIRECT("R6.Voz!D"&amp;SUM(18,38*13,17))),"",INDIRECT("R6.Voz!D"&amp;SUM(18,38*13,17))))</f>
        <v>N/T</v>
      </c>
      <c r="V36" s="215" t="str" cm="1">
        <f t="array" aca="1" ref="V36" ca="1">IF($B36="","",IF(ISBLANK(INDIRECT("R6.Voz!D"&amp;SUM(18,38*14,17))),"",INDIRECT("R6.Voz!D"&amp;SUM(18,38*14,17))))</f>
        <v>N/T</v>
      </c>
      <c r="W36" s="215" t="str" cm="1">
        <f t="array" aca="1" ref="W36" ca="1">IF($B36="","",IF(ISBLANK(INDIRECT("R6.Voz!D"&amp;SUM(18,38*15,17))),"",INDIRECT("R6.Voz!D"&amp;SUM(18,38*15,17))))</f>
        <v>N/T</v>
      </c>
      <c r="X36" s="215" t="str" cm="1">
        <f t="array" aca="1" ref="X36" ca="1">IF($B36="","",IF(ISBLANK(INDIRECT("R6.Voz!D"&amp;SUM(18,38*16,17))),"",INDIRECT("R6.Voz!D"&amp;SUM(18,38*16,17))))</f>
        <v>N/T</v>
      </c>
      <c r="Y36" s="215" t="str" cm="1">
        <f t="array" aca="1" ref="Y36" ca="1">IF($B36="","",IF(ISBLANK(INDIRECT("R6.Voz!D"&amp;SUM(18,38*17,17))),"",INDIRECT("R6.Voz!D"&amp;SUM(18,38*17,17))))</f>
        <v>N/T</v>
      </c>
      <c r="Z36" s="215" t="str" cm="1">
        <f t="array" aca="1" ref="Z36" ca="1">IF($B36="","",IF(ISBLANK(INDIRECT("R6.Voz!D"&amp;SUM(18,38*18,17))),"",INDIRECT("R6.Voz!D"&amp;SUM(18,38*18,17))))</f>
        <v>N/T</v>
      </c>
      <c r="AA36" s="215" t="str" cm="1">
        <f t="array" aca="1" ref="AA36" ca="1">IF($B36="","",IF(ISBLANK(INDIRECT("R7.Video!D"&amp;SUM(18,38*0,17))),"",INDIRECT("R7.Video!D"&amp;SUM(18,38*0,17))))</f>
        <v>N/T</v>
      </c>
      <c r="AB36" s="215" t="str" cm="1">
        <f t="array" aca="1" ref="AB36" ca="1">IF($B36="","",IF(ISBLANK(INDIRECT("R7.Video!D"&amp;SUM(18,38*1,17))),"",INDIRECT("R7.Video!D"&amp;SUM(18,38*1,17))))</f>
        <v>N/T</v>
      </c>
      <c r="AC36" s="215" t="str" cm="1">
        <f t="array" aca="1" ref="AC36" ca="1">IF($B36="","",IF(ISBLANK(INDIRECT("R7.Video!D"&amp;SUM(18,38*2,17))),"",INDIRECT("R7.Video!D"&amp;SUM(18,38*2,17))))</f>
        <v>N/T</v>
      </c>
      <c r="AD36" s="215" t="str" cm="1">
        <f t="array" aca="1" ref="AD36" ca="1">IF($B36="","",IF(ISBLANK(INDIRECT("R7.Video!D"&amp;SUM(18,38*3,17))),"",INDIRECT("R7.Video!D"&amp;SUM(18,38*3,17))))</f>
        <v>N/T</v>
      </c>
      <c r="AE36" s="215" t="str" cm="1">
        <f t="array" aca="1" ref="AE36" ca="1">IF($B36="","",IF(ISBLANK(INDIRECT("R7.Video!D"&amp;SUM(18,38*4,17))),"",INDIRECT("R7.Video!D"&amp;SUM(18,38*4,17))))</f>
        <v>N/T</v>
      </c>
      <c r="AF36" s="215" t="str" cm="1">
        <f t="array" aca="1" ref="AF36" ca="1">IF($B36="","",IF(ISBLANK(INDIRECT("R7.Video!D"&amp;SUM(18,38*5,17))),"",INDIRECT("R7.Video!D"&amp;SUM(18,38*5,17))))</f>
        <v>N/T</v>
      </c>
      <c r="AG36" s="215" t="str" cm="1">
        <f t="array" aca="1" ref="AG36" ca="1">IF($B36="","",IF(ISBLANK(INDIRECT("R7.Video!D"&amp;SUM(18,38*6,17))),"",INDIRECT("R7.Video!D"&amp;SUM(18,38*6,17))))</f>
        <v>N/T</v>
      </c>
      <c r="AH36" s="215" t="str" cm="1">
        <f t="array" aca="1" ref="AH36" ca="1">IF($B36="","",IF(ISBLANK(INDIRECT("R7.Video!D"&amp;SUM(18,38*7,17))),"",INDIRECT("R7.Video!D"&amp;SUM(18,38*7,17))))</f>
        <v>N/T</v>
      </c>
      <c r="AI36" s="215" t="str" cm="1">
        <f t="array" aca="1" ref="AI36" ca="1">IF($B36="","",IF(ISBLANK(INDIRECT("R7.Video!D"&amp;SUM(18,38*8,17))),"",INDIRECT("R7.Video!D"&amp;SUM(18,38*8,17))))</f>
        <v>N/T</v>
      </c>
      <c r="AJ36" s="215" t="str" cm="1">
        <f t="array" aca="1" ref="AJ36" ca="1">IF($B36="","",IF(ISBLANK(INDIRECT("R9.Web!D"&amp;SUM(18,38*0,17))),"",INDIRECT("R9.Web!D"&amp;SUM(18,38*0,17))))</f>
        <v>N/D</v>
      </c>
      <c r="AK36" s="215" t="str" cm="1">
        <f t="array" aca="1" ref="AK36" ca="1">IF($B36="","",IF(ISBLANK(INDIRECT("R9.Web!D"&amp;SUM(18,38*1,17))),"",INDIRECT("R9.Web!D"&amp;SUM(18,38*1,17))))</f>
        <v>N/T</v>
      </c>
      <c r="AL36" s="215" t="str" cm="1">
        <f t="array" aca="1" ref="AL36" ca="1">IF($B36="","",IF(ISBLANK(INDIRECT("R9.Web!D"&amp;SUM(18,38*2,17))),"",INDIRECT("R9.Web!D"&amp;SUM(18,38*2,17))))</f>
        <v>N/T</v>
      </c>
      <c r="AM36" s="215" t="str" cm="1">
        <f t="array" aca="1" ref="AM36" ca="1">IF($B36="","",IF(ISBLANK(INDIRECT("R9.Web!D"&amp;SUM(18,38*3,17))),"",INDIRECT("R9.Web!D"&amp;SUM(18,38*3,17))))</f>
        <v>N/T</v>
      </c>
      <c r="AN36" s="215" t="str" cm="1">
        <f t="array" aca="1" ref="AN36" ca="1">IF($B36="","",IF(ISBLANK(INDIRECT("R9.Web!D"&amp;SUM(18,38*4,17))),"",INDIRECT("R9.Web!D"&amp;SUM(18,38*4,17))))</f>
        <v>N/T</v>
      </c>
      <c r="AO36" s="215" t="str" cm="1">
        <f t="array" aca="1" ref="AO36" ca="1">IF($B36="","",IF(ISBLANK(INDIRECT("R9.Web!D"&amp;SUM(18,38*5,17))),"",INDIRECT("R9.Web!D"&amp;SUM(18,38*5,17))))</f>
        <v>N/D</v>
      </c>
      <c r="AP36" s="215" t="str" cm="1">
        <f t="array" aca="1" ref="AP36" ca="1">IF($B36="","",IF(ISBLANK(INDIRECT("R9.Web!D"&amp;SUM(18,38*6,17))),"",INDIRECT("R9.Web!D"&amp;SUM(18,38*6,17))))</f>
        <v>N/T</v>
      </c>
      <c r="AQ36" s="215" t="str" cm="1">
        <f t="array" aca="1" ref="AQ36" ca="1">IF($B36="","",IF(ISBLANK(INDIRECT("R9.Web!D"&amp;SUM(18,38*7,17))),"",INDIRECT("R9.Web!D"&amp;SUM(18,38*7,17))))</f>
        <v>N/T</v>
      </c>
      <c r="AR36" s="215" t="str" cm="1">
        <f t="array" aca="1" ref="AR36" ca="1">IF($B36="","",IF(ISBLANK(INDIRECT("R9.Web!D"&amp;SUM(18,38*8,17))),"",INDIRECT("R9.Web!D"&amp;SUM(18,38*8,17))))</f>
        <v>N/D</v>
      </c>
      <c r="AS36" s="215" t="str" cm="1">
        <f t="array" aca="1" ref="AS36" ca="1">IF($B36="","",IF(ISBLANK(INDIRECT("R9.Web!D"&amp;SUM(18,38*9,17))),"",INDIRECT("R9.Web!D"&amp;SUM(18,38*9,17))))</f>
        <v>N/D</v>
      </c>
      <c r="AT36" s="215" t="str" cm="1">
        <f t="array" aca="1" ref="AT36" ca="1">IF($B36="","",IF(ISBLANK(INDIRECT("R9.Web!D"&amp;SUM(18,38*10,17))),"",INDIRECT("R9.Web!D"&amp;SUM(18,38*10,17))))</f>
        <v>N/T</v>
      </c>
      <c r="AU36" s="215" t="str" cm="1">
        <f t="array" aca="1" ref="AU36" ca="1">IF($B36="","",IF(ISBLANK(INDIRECT("R9.Web!D"&amp;SUM(18,38*11,17))),"",INDIRECT("R9.Web!D"&amp;SUM(18,38*11,17))))</f>
        <v>N/T</v>
      </c>
      <c r="AV36" s="215" t="str" cm="1">
        <f t="array" aca="1" ref="AV36" ca="1">IF($B36="","",IF(ISBLANK(INDIRECT("R9.Web!D"&amp;SUM(18,38*12,17))),"",INDIRECT("R9.Web!D"&amp;SUM(18,38*12,17))))</f>
        <v>N/D</v>
      </c>
      <c r="AW36" s="215" t="str" cm="1">
        <f t="array" aca="1" ref="AW36" ca="1">IF($B36="","",IF(ISBLANK(INDIRECT("R9.Web!D"&amp;SUM(18,38*13,17))),"",INDIRECT("R9.Web!D"&amp;SUM(18,38*13,17))))</f>
        <v>N/T</v>
      </c>
      <c r="AX36" s="215" t="str" cm="1">
        <f t="array" aca="1" ref="AX36" ca="1">IF($B36="","",IF(ISBLANK(INDIRECT("R9.Web!D"&amp;SUM(18,38*14,17))),"",INDIRECT("R9.Web!D"&amp;SUM(18,38*14,17))))</f>
        <v>N/T</v>
      </c>
      <c r="AY36" s="215" t="str" cm="1">
        <f t="array" aca="1" ref="AY36" ca="1">IF($B36="","",IF(ISBLANK(INDIRECT("R9.Web!D"&amp;SUM(18,38*15,17))),"",INDIRECT("R9.Web!D"&amp;SUM(18,38*15,17))))</f>
        <v>N/D</v>
      </c>
      <c r="AZ36" s="215" t="str" cm="1">
        <f t="array" aca="1" ref="AZ36" ca="1">IF($B36="","",IF(ISBLANK(INDIRECT("R9.Web!D"&amp;SUM(18,38*16,17))),"",INDIRECT("R9.Web!D"&amp;SUM(18,38*16,17))))</f>
        <v>N/T</v>
      </c>
      <c r="BA36" s="215" t="str" cm="1">
        <f t="array" aca="1" ref="BA36" ca="1">IF($B36="","",IF(ISBLANK(INDIRECT("R9.Web!D"&amp;SUM(18,38*17,17))),"",INDIRECT("R9.Web!D"&amp;SUM(18,38*17,17))))</f>
        <v>N/D</v>
      </c>
      <c r="BB36" s="215" t="str" cm="1">
        <f t="array" aca="1" ref="BB36" ca="1">IF($B36="","",IF(ISBLANK(INDIRECT("R9.Web!D"&amp;SUM(18,38*18,17))),"",INDIRECT("R9.Web!D"&amp;SUM(18,38*18,17))))</f>
        <v>N/T</v>
      </c>
      <c r="BC36" s="215" t="str" cm="1">
        <f t="array" aca="1" ref="BC36" ca="1">IF($B36="","",IF(ISBLANK(INDIRECT("R9.Web!D"&amp;SUM(18,38*19,17))),"",INDIRECT("R9.Web!D"&amp;SUM(18,38*19,17))))</f>
        <v>N/D</v>
      </c>
      <c r="BD36" s="215" t="str" cm="1">
        <f t="array" aca="1" ref="BD36" ca="1">IF($B36="","",IF(ISBLANK(INDIRECT("R9.Web!D"&amp;SUM(18,38*20,17))),"",INDIRECT("R9.Web!D"&amp;SUM(18,38*20,17))))</f>
        <v>N/T</v>
      </c>
      <c r="BE36" s="215" t="str" cm="1">
        <f t="array" aca="1" ref="BE36" ca="1">IF($B36="","",IF(ISBLANK(INDIRECT("R9.Web!D"&amp;SUM(18,38*21,17))),"",INDIRECT("R9.Web!D"&amp;SUM(18,38*21,17))))</f>
        <v>N/T</v>
      </c>
      <c r="BF36" s="215" t="str" cm="1">
        <f t="array" aca="1" ref="BF36" ca="1">IF($B36="","",IF(ISBLANK(INDIRECT("R9.Web!D"&amp;SUM(18,38*22,17))),"",INDIRECT("R9.Web!D"&amp;SUM(18,38*22,17))))</f>
        <v>N/D</v>
      </c>
      <c r="BG36" s="215" t="str" cm="1">
        <f t="array" aca="1" ref="BG36" ca="1">IF($B36="","",IF(ISBLANK(INDIRECT("R9.Web!D"&amp;SUM(18,38*23,17))),"",INDIRECT("R9.Web!D"&amp;SUM(18,38*23,17))))</f>
        <v>N/D</v>
      </c>
      <c r="BH36" s="215" t="str" cm="1">
        <f t="array" aca="1" ref="BH36" ca="1">IF($B36="","",IF(ISBLANK(INDIRECT("R9.Web!D"&amp;SUM(18,38*24,17))),"",INDIRECT("R9.Web!D"&amp;SUM(18,38*24,17))))</f>
        <v>N/T</v>
      </c>
      <c r="BI36" s="215" t="str" cm="1">
        <f t="array" aca="1" ref="BI36" ca="1">IF($B36="","",IF(ISBLANK(INDIRECT("R9.Web!D"&amp;SUM(18,38*25,17))),"",INDIRECT("R9.Web!D"&amp;SUM(18,38*25,17))))</f>
        <v>N/D</v>
      </c>
      <c r="BJ36" s="215" t="str" cm="1">
        <f t="array" aca="1" ref="BJ36" ca="1">IF($B36="","",IF(ISBLANK(INDIRECT("R9.Web!D"&amp;SUM(18,38*26,17))),"",INDIRECT("R9.Web!D"&amp;SUM(18,38*26,17))))</f>
        <v>N/D</v>
      </c>
      <c r="BK36" s="215" t="str" cm="1">
        <f t="array" aca="1" ref="BK36" ca="1">IF($B36="","",IF(ISBLANK(INDIRECT("R9.Web!D"&amp;SUM(18,38*27,17))),"",INDIRECT("R9.Web!D"&amp;SUM(18,38*27,17))))</f>
        <v>N/D</v>
      </c>
      <c r="BL36" s="215" t="str" cm="1">
        <f t="array" aca="1" ref="BL36" ca="1">IF($B36="","",IF(ISBLANK(INDIRECT("R9.Web!D"&amp;SUM(18,38*28,17))),"",INDIRECT("R9.Web!D"&amp;SUM(18,38*28,17))))</f>
        <v>Falla</v>
      </c>
      <c r="BM36" s="215" t="str" cm="1">
        <f t="array" aca="1" ref="BM36" ca="1">IF($B36="","",IF(ISBLANK(INDIRECT("R9.Web!D"&amp;SUM(18,38*29,17))),"",INDIRECT("R9.Web!D"&amp;SUM(18,38*29,17))))</f>
        <v>N/D</v>
      </c>
      <c r="BN36" s="215" t="str" cm="1">
        <f t="array" aca="1" ref="BN36" ca="1">IF($B36="","",IF(ISBLANK(INDIRECT("R9.Web!D"&amp;SUM(18,38*30,17))),"",INDIRECT("R9.Web!D"&amp;SUM(18,38*30,17))))</f>
        <v>N/T</v>
      </c>
      <c r="BO36" s="215" t="str" cm="1">
        <f t="array" aca="1" ref="BO36" ca="1">IF($B36="","",IF(ISBLANK(INDIRECT("R9.Web!D"&amp;SUM(18,38*31,17))),"",INDIRECT("R9.Web!D"&amp;SUM(18,38*31,17))))</f>
        <v>N/D</v>
      </c>
      <c r="BP36" s="215" t="str" cm="1">
        <f t="array" aca="1" ref="BP36" ca="1">IF($B36="","",IF(ISBLANK(INDIRECT("R9.Web!D"&amp;SUM(18,38*32,17))),"",INDIRECT("R9.Web!D"&amp;SUM(18,38*32,17))))</f>
        <v>N/T</v>
      </c>
      <c r="BQ36" s="215" t="str" cm="1">
        <f t="array" aca="1" ref="BQ36" ca="1">IF($B36="","",IF(ISBLANK(INDIRECT("R9.Web!D"&amp;SUM(18,38*33,17))),"",INDIRECT("R9.Web!D"&amp;SUM(18,38*33,17))))</f>
        <v>N/T</v>
      </c>
      <c r="BR36" s="215" t="str" cm="1">
        <f t="array" aca="1" ref="BR36" ca="1">IF($B36="","",IF(ISBLANK(INDIRECT("R9.Web!D"&amp;SUM(18,38*34,17))),"",INDIRECT("R9.Web!D"&amp;SUM(18,38*34,17))))</f>
        <v>N/D</v>
      </c>
      <c r="BS36" s="215" t="str" cm="1">
        <f t="array" aca="1" ref="BS36" ca="1">IF($B36="","",IF(ISBLANK(INDIRECT("R9.Web!D"&amp;SUM(18,38*35,17))),"",INDIRECT("R9.Web!D"&amp;SUM(18,38*35,17))))</f>
        <v>N/T</v>
      </c>
      <c r="BT36" s="215" t="str" cm="1">
        <f t="array" aca="1" ref="BT36" ca="1">IF($B36="","",IF(ISBLANK(INDIRECT("R9.Web!D"&amp;SUM(18,38*36,17))),"",INDIRECT("R9.Web!D"&amp;SUM(18,38*36,17))))</f>
        <v>N/D</v>
      </c>
      <c r="BU36" s="215" t="str" cm="1">
        <f t="array" aca="1" ref="BU36" ca="1">IF($B36="","",IF(ISBLANK(INDIRECT("R9.Web!D"&amp;SUM(18,38*37,17))),"",INDIRECT("R9.Web!D"&amp;SUM(18,38*37,17))))</f>
        <v>N/D</v>
      </c>
      <c r="BV36" s="215" t="str" cm="1">
        <f t="array" aca="1" ref="BV36" ca="1">IF($B36="","",IF(ISBLANK(INDIRECT("R9.Web!D"&amp;SUM(18,38*38,17))),"",INDIRECT("R9.Web!D"&amp;SUM(18,38*38,17))))</f>
        <v>N/D</v>
      </c>
      <c r="BW36" s="215" t="str" cm="1">
        <f t="array" aca="1" ref="BW36" ca="1">IF($B36="","",IF(ISBLANK(INDIRECT("R9.Web!D"&amp;SUM(18,38*39,17))),"",INDIRECT("R9.Web!D"&amp;SUM(18,38*39,17))))</f>
        <v>N/D</v>
      </c>
      <c r="BX36" s="215" t="str" cm="1">
        <f t="array" aca="1" ref="BX36" ca="1">IF($B36="","",IF(ISBLANK(INDIRECT("R9.Web!D"&amp;SUM(18,38*40,17))),"",INDIRECT("R9.Web!D"&amp;SUM(18,38*40,17))))</f>
        <v>N/D</v>
      </c>
      <c r="BY36" s="215" t="str" cm="1">
        <f t="array" aca="1" ref="BY36" ca="1">IF($B36="","",IF(ISBLANK(INDIRECT("R9.Web!D"&amp;SUM(18,38*41,17))),"",INDIRECT("R9.Web!D"&amp;SUM(18,38*41,17))))</f>
        <v>N/T</v>
      </c>
      <c r="BZ36" s="215" t="str" cm="1">
        <f t="array" aca="1" ref="BZ36" ca="1">IF($B36="","",IF(ISBLANK(INDIRECT("R9.Web!D"&amp;SUM(18,38*42,17))),"",INDIRECT("R9.Web!D"&amp;SUM(18,38*42,17))))</f>
        <v>N/T</v>
      </c>
      <c r="CA36" s="215" t="str" cm="1">
        <f t="array" aca="1" ref="CA36" ca="1">IF($B36="","",IF(ISBLANK(INDIRECT("R9.Web!D"&amp;SUM(18,38*43,17))),"",INDIRECT("R9.Web!D"&amp;SUM(18,38*43,17))))</f>
        <v>N/D</v>
      </c>
      <c r="CB36" s="215" t="str" cm="1">
        <f t="array" aca="1" ref="CB36" ca="1">IF($B36="","",IF(ISBLANK(INDIRECT("R9.Web!D"&amp;SUM(18,38*44,17))),"",INDIRECT("R9.Web!D"&amp;SUM(18,38*44,17))))</f>
        <v>N/T</v>
      </c>
      <c r="CC36" s="215" t="str" cm="1">
        <f t="array" aca="1" ref="CC36" ca="1">IF($B36="","",IF(ISBLANK(INDIRECT("R9.Web!D"&amp;SUM(18,38*45,17))),"",INDIRECT("R9.Web!D"&amp;SUM(18,38*45,17))))</f>
        <v>N/T</v>
      </c>
      <c r="CD36" s="215" t="str" cm="1">
        <f t="array" aca="1" ref="CD36" ca="1">IF($B36="","",IF(ISBLANK(INDIRECT("R9.Web!D"&amp;SUM(18,38*46,17))),"",INDIRECT("R9.Web!D"&amp;SUM(18,38*46,17))))</f>
        <v>N/T</v>
      </c>
      <c r="CE36" s="215" t="str" cm="1">
        <f t="array" aca="1" ref="CE36" ca="1">IF($B36="","",IF(ISBLANK(INDIRECT("R9.Web!D"&amp;SUM(18,38*47,17))),"",INDIRECT("R9.Web!D"&amp;SUM(18,38*47,17))))</f>
        <v>N/D</v>
      </c>
      <c r="CF36" s="215" t="str" cm="1">
        <f t="array" aca="1" ref="CF36" ca="1">IF($B36="","",IF(ISBLANK(INDIRECT("R9.Web!D"&amp;SUM(18,38*48,17))),"",INDIRECT("R9.Web!D"&amp;SUM(18,38*48,17))))</f>
        <v>N/T</v>
      </c>
      <c r="CG36" s="215" t="str" cm="1">
        <f t="array" aca="1" ref="CG36" ca="1">IF($B36="","",IF(ISBLANK(INDIRECT("R9.Web!D"&amp;SUM(18,38*49,17))),"",INDIRECT("R9.Web!D"&amp;SUM(18,38*49,17))))</f>
        <v>N/T</v>
      </c>
      <c r="CH36" s="215" t="str" cm="1">
        <f t="array" aca="1" ref="CH36" ca="1">IF($B36="","",IF(ISBLANK(INDIRECT("R11.Software!D"&amp;SUM(18,38*0,17))),"",INDIRECT("R11.Software!D"&amp;SUM(18,38*0,17))))</f>
        <v>N/T</v>
      </c>
      <c r="CI36" s="215" t="str" cm="1">
        <f t="array" aca="1" ref="CI36" ca="1">IF($B36="","",IF(ISBLANK(INDIRECT("R11.Software!D"&amp;SUM(18,38*1,17))),"",INDIRECT("R11.Software!D"&amp;SUM(18,38*1,17))))</f>
        <v>N/T</v>
      </c>
      <c r="CJ36" s="215" t="str" cm="1">
        <f t="array" aca="1" ref="CJ36" ca="1">IF($B36="","",IF(ISBLANK(INDIRECT("R11.Software!D"&amp;SUM(18,38*2,17))),"",INDIRECT("R11.Software!D"&amp;SUM(18,38*2,17))))</f>
        <v>N/T</v>
      </c>
      <c r="CK36" s="215" t="str" cm="1">
        <f t="array" aca="1" ref="CK36" ca="1">IF($B36="","",IF(ISBLANK(INDIRECT("R11.Software!D"&amp;SUM(18,38*3,17))),"",INDIRECT("R11.Software!D"&amp;SUM(18,38*3,17))))</f>
        <v>N/T</v>
      </c>
      <c r="CL36" s="215" t="str" cm="1">
        <f t="array" aca="1" ref="CL36" ca="1">IF($B36="","",IF(ISBLANK(INDIRECT("R11.Software!D"&amp;SUM(18,38*4,17))),"",INDIRECT("R11.Software!D"&amp;SUM(18,38*4,17))))</f>
        <v>N/T</v>
      </c>
      <c r="CM36" s="215" t="str" cm="1">
        <f t="array" aca="1" ref="CM36" ca="1">IF($B36="","",IF(ISBLANK(INDIRECT("R11.Software!D"&amp;SUM(18,38*5,17))),"",INDIRECT("R11.Software!D"&amp;SUM(18,38*5,17))))</f>
        <v>N/T</v>
      </c>
      <c r="CN36" s="215" t="str" cm="1">
        <f t="array" aca="1" ref="CN36" ca="1">IF($B36="","",IF(ISBLANK(INDIRECT("R12.ServiciosApoyo!D"&amp;SUM(18,38*0,17))),"",INDIRECT("R12.ServiciosApoyo!D"&amp;SUM(18,38*0,17))))</f>
        <v>N/T</v>
      </c>
      <c r="CO36" s="215" t="str" cm="1">
        <f t="array" aca="1" ref="CO36" ca="1">IF($B36="","",IF(ISBLANK(INDIRECT("R12.ServiciosApoyo!D"&amp;SUM(18,38*1,17))),"",INDIRECT("R12.ServiciosApoyo!D"&amp;SUM(18,38*1,17))))</f>
        <v>N/T</v>
      </c>
      <c r="CP36" s="215" t="str" cm="1">
        <f t="array" aca="1" ref="CP36" ca="1">IF($B36="","",IF(ISBLANK(INDIRECT("R12.ServiciosApoyo!D"&amp;SUM(18,38*2,17))),"",INDIRECT("R12.ServiciosApoyo!D"&amp;SUM(18,38*2,17))))</f>
        <v>N/T</v>
      </c>
      <c r="CQ36" s="215" t="str" cm="1">
        <f t="array" aca="1" ref="CQ36" ca="1">IF($B36="","",IF(ISBLANK(INDIRECT("R12.ServiciosApoyo!D"&amp;SUM(18,38*3,17))),"",INDIRECT("R12.ServiciosApoyo!D"&amp;SUM(18,38*3,17))))</f>
        <v>N/T</v>
      </c>
      <c r="CR36" s="215" t="str" cm="1">
        <f t="array" aca="1" ref="CR36" ca="1">IF($B36="","",IF(ISBLANK(INDIRECT("R12.ServiciosApoyo!D"&amp;SUM(18,38*4,17))),"",INDIRECT("R12.ServiciosApoyo!D"&amp;SUM(18,38*4,17))))</f>
        <v>N/T</v>
      </c>
      <c r="CU36" s="100"/>
      <c r="CV36" s="29"/>
      <c r="CW36" s="29"/>
      <c r="CX36" s="29"/>
    </row>
    <row r="37" spans="2:102" ht="20.25">
      <c r="B37" s="181" t="n" cm="1">
        <f t="array" ref="B37">IFERROR(INDEX('03.Muestra'!$B$8:$B$42,SMALL(IF("Página Web"='03.Muestra'!$D$8:$D$42,ROW('03.Muestra'!$B$8:$B$42)-MIN(ROW('03.Muestra'!$D$8:$D$42))+1,""),ROW()-19)),"")</f>
        <v>1.0</v>
      </c>
      <c r="C37" s="97" t="str" cm="1">
        <f t="array" ref="C37">IFERROR(INDEX('03.Muestra'!$C$8:$C$42,SMALL(IF("Página Web"='03.Muestra'!$D$8:$D$42,ROW('03.Muestra'!$C$8:$C$42)-MIN(ROW('03.Muestra'!$D$8:$D$42))+1,""),ROW()-19)),"")</f>
        <v>Home - PortCastelló</v>
      </c>
      <c r="D37" s="98" t="str" cm="1">
        <f t="array" ref="D37">IFERROR(INDEX('03.Muestra'!$F$8:$F$42,SMALL(IF("Página Web"='03.Muestra'!$D$8:$D$42,ROW('03.Muestra'!$F$8:$F$42)-MIN(ROW('03.Muestra'!$D$8:$D$42))+1,""),ROW()-19)),"")</f>
        <v>https://www.portcastello.com/</v>
      </c>
      <c r="E37" s="215" t="str" cm="1">
        <f t="array" aca="1" ref="E37" ca="1">IF($B37="","",IF(ISBLANK(INDIRECT("R5.Genéricos!D"&amp;SUM(18,38*0,18))),"",INDIRECT("R5.Genéricos!D"&amp;SUM(18,38*0,18))))</f>
        <v>N/T</v>
      </c>
      <c r="F37" s="215" t="str" cm="1">
        <f t="array" aca="1" ref="F37" ca="1">IF($B37="","",IF(ISBLANK(INDIRECT("R5.Genéricos!D"&amp;SUM(18,38*1,18))),"",INDIRECT("R5.Genéricos!D"&amp;SUM(18,38*1,18))))</f>
        <v>N/T</v>
      </c>
      <c r="G37" s="215" t="str" cm="1">
        <f t="array" aca="1" ref="G37" ca="1">IF($B37="","",IF(ISBLANK(INDIRECT("R5.Genéricos!D"&amp;SUM(18,38*2,18))),"",INDIRECT("R5.Genéricos!D"&amp;SUM(18,38*2,18))))</f>
        <v>N/T</v>
      </c>
      <c r="H37" s="215" t="str" cm="1">
        <f t="array" aca="1" ref="H37" ca="1">IF($B37="","",IF(ISBLANK(INDIRECT("R6.Voz!D"&amp;SUM(18,38*0,18))),"",INDIRECT("R6.Voz!D"&amp;SUM(18,38*0,18))))</f>
        <v>N/T</v>
      </c>
      <c r="I37" s="215" t="str" cm="1">
        <f t="array" aca="1" ref="I37" ca="1">IF($B37="","",IF(ISBLANK(INDIRECT("R6.Voz!D"&amp;SUM(18,38*1,18))),"",INDIRECT("R6.Voz!D"&amp;SUM(18,38*1,18))))</f>
        <v>N/T</v>
      </c>
      <c r="J37" s="215" t="str" cm="1">
        <f t="array" aca="1" ref="J37" ca="1">IF($B37="","",IF(ISBLANK(INDIRECT("R6.Voz!D"&amp;SUM(18,38*2,18))),"",INDIRECT("R6.Voz!D"&amp;SUM(18,38*2,18))))</f>
        <v>N/T</v>
      </c>
      <c r="K37" s="215" t="str" cm="1">
        <f t="array" aca="1" ref="K37" ca="1">IF($B37="","",IF(ISBLANK(INDIRECT("R6.Voz!D"&amp;SUM(18,38*3,18))),"",INDIRECT("R6.Voz!D"&amp;SUM(18,38*3,18))))</f>
        <v>N/T</v>
      </c>
      <c r="L37" s="215" t="str" cm="1">
        <f t="array" aca="1" ref="L37" ca="1">IF($B37="","",IF(ISBLANK(INDIRECT("R6.Voz!D"&amp;SUM(18,38*4,18))),"",INDIRECT("R6.Voz!D"&amp;SUM(18,38*4,18))))</f>
        <v>N/T</v>
      </c>
      <c r="M37" s="215" t="str" cm="1">
        <f t="array" aca="1" ref="M37" ca="1">IF($B37="","",IF(ISBLANK(INDIRECT("R6.Voz!D"&amp;SUM(18,38*5,18))),"",INDIRECT("R6.Voz!D"&amp;SUM(18,38*5,18))))</f>
        <v>N/T</v>
      </c>
      <c r="N37" s="215" t="str" cm="1">
        <f t="array" aca="1" ref="N37" ca="1">IF($B37="","",IF(ISBLANK(INDIRECT("R6.Voz!D"&amp;SUM(18,38*6,18))),"",INDIRECT("R6.Voz!D"&amp;SUM(18,38*6,18))))</f>
        <v>N/T</v>
      </c>
      <c r="O37" s="215" t="str" cm="1">
        <f t="array" aca="1" ref="O37" ca="1">IF($B37="","",IF(ISBLANK(INDIRECT("R6.Voz!D"&amp;SUM(18,38*7,18))),"",INDIRECT("R6.Voz!D"&amp;SUM(18,38*7,18))))</f>
        <v>N/T</v>
      </c>
      <c r="P37" s="215" t="str" cm="1">
        <f t="array" aca="1" ref="P37" ca="1">IF($B37="","",IF(ISBLANK(INDIRECT("R6.Voz!D"&amp;SUM(18,38*8,18))),"",INDIRECT("R6.Voz!D"&amp;SUM(18,38*8,18))))</f>
        <v>N/T</v>
      </c>
      <c r="Q37" s="215" t="str" cm="1">
        <f t="array" aca="1" ref="Q37" ca="1">IF($B37="","",IF(ISBLANK(INDIRECT("R6.Voz!D"&amp;SUM(18,38*9,18))),"",INDIRECT("R6.Voz!D"&amp;SUM(18,38*9,18))))</f>
        <v>N/T</v>
      </c>
      <c r="R37" s="215" t="str" cm="1">
        <f t="array" aca="1" ref="R37" ca="1">IF($B37="","",IF(ISBLANK(INDIRECT("R6.Voz!D"&amp;SUM(18,38*10,18))),"",INDIRECT("R6.Voz!D"&amp;SUM(18,38*10,18))))</f>
        <v>N/T</v>
      </c>
      <c r="S37" s="215" t="str" cm="1">
        <f t="array" aca="1" ref="S37" ca="1">IF($B37="","",IF(ISBLANK(INDIRECT("R6.Voz!D"&amp;SUM(18,38*11,18))),"",INDIRECT("R6.Voz!D"&amp;SUM(18,38*11,18))))</f>
        <v>N/T</v>
      </c>
      <c r="T37" s="215" t="str" cm="1">
        <f t="array" aca="1" ref="T37" ca="1">IF($B37="","",IF(ISBLANK(INDIRECT("R6.Voz!D"&amp;SUM(18,38*12,18))),"",INDIRECT("R6.Voz!D"&amp;SUM(18,38*12,18))))</f>
        <v>N/T</v>
      </c>
      <c r="U37" s="215" t="str" cm="1">
        <f t="array" aca="1" ref="U37" ca="1">IF($B37="","",IF(ISBLANK(INDIRECT("R6.Voz!D"&amp;SUM(18,38*13,18))),"",INDIRECT("R6.Voz!D"&amp;SUM(18,38*13,18))))</f>
        <v>N/T</v>
      </c>
      <c r="V37" s="215" t="str" cm="1">
        <f t="array" aca="1" ref="V37" ca="1">IF($B37="","",IF(ISBLANK(INDIRECT("R6.Voz!D"&amp;SUM(18,38*14,18))),"",INDIRECT("R6.Voz!D"&amp;SUM(18,38*14,18))))</f>
        <v>N/T</v>
      </c>
      <c r="W37" s="215" t="str" cm="1">
        <f t="array" aca="1" ref="W37" ca="1">IF($B37="","",IF(ISBLANK(INDIRECT("R6.Voz!D"&amp;SUM(18,38*15,18))),"",INDIRECT("R6.Voz!D"&amp;SUM(18,38*15,18))))</f>
        <v>N/T</v>
      </c>
      <c r="X37" s="215" t="str" cm="1">
        <f t="array" aca="1" ref="X37" ca="1">IF($B37="","",IF(ISBLANK(INDIRECT("R6.Voz!D"&amp;SUM(18,38*16,18))),"",INDIRECT("R6.Voz!D"&amp;SUM(18,38*16,18))))</f>
        <v>N/T</v>
      </c>
      <c r="Y37" s="215" t="str" cm="1">
        <f t="array" aca="1" ref="Y37" ca="1">IF($B37="","",IF(ISBLANK(INDIRECT("R6.Voz!D"&amp;SUM(18,38*17,18))),"",INDIRECT("R6.Voz!D"&amp;SUM(18,38*17,18))))</f>
        <v>N/T</v>
      </c>
      <c r="Z37" s="215" t="str" cm="1">
        <f t="array" aca="1" ref="Z37" ca="1">IF($B37="","",IF(ISBLANK(INDIRECT("R6.Voz!D"&amp;SUM(18,38*18,18))),"",INDIRECT("R6.Voz!D"&amp;SUM(18,38*18,18))))</f>
        <v>N/T</v>
      </c>
      <c r="AA37" s="215" t="str" cm="1">
        <f t="array" aca="1" ref="AA37" ca="1">IF($B37="","",IF(ISBLANK(INDIRECT("R7.Video!D"&amp;SUM(18,38*0,18))),"",INDIRECT("R7.Video!D"&amp;SUM(18,38*0,18))))</f>
        <v>N/T</v>
      </c>
      <c r="AB37" s="215" t="str" cm="1">
        <f t="array" aca="1" ref="AB37" ca="1">IF($B37="","",IF(ISBLANK(INDIRECT("R7.Video!D"&amp;SUM(18,38*1,18))),"",INDIRECT("R7.Video!D"&amp;SUM(18,38*1,18))))</f>
        <v>N/T</v>
      </c>
      <c r="AC37" s="215" t="str" cm="1">
        <f t="array" aca="1" ref="AC37" ca="1">IF($B37="","",IF(ISBLANK(INDIRECT("R7.Video!D"&amp;SUM(18,38*2,18))),"",INDIRECT("R7.Video!D"&amp;SUM(18,38*2,18))))</f>
        <v>N/T</v>
      </c>
      <c r="AD37" s="215" t="str" cm="1">
        <f t="array" aca="1" ref="AD37" ca="1">IF($B37="","",IF(ISBLANK(INDIRECT("R7.Video!D"&amp;SUM(18,38*3,18))),"",INDIRECT("R7.Video!D"&amp;SUM(18,38*3,18))))</f>
        <v>N/T</v>
      </c>
      <c r="AE37" s="215" t="str" cm="1">
        <f t="array" aca="1" ref="AE37" ca="1">IF($B37="","",IF(ISBLANK(INDIRECT("R7.Video!D"&amp;SUM(18,38*4,18))),"",INDIRECT("R7.Video!D"&amp;SUM(18,38*4,18))))</f>
        <v>N/T</v>
      </c>
      <c r="AF37" s="215" t="str" cm="1">
        <f t="array" aca="1" ref="AF37" ca="1">IF($B37="","",IF(ISBLANK(INDIRECT("R7.Video!D"&amp;SUM(18,38*5,18))),"",INDIRECT("R7.Video!D"&amp;SUM(18,38*5,18))))</f>
        <v>N/T</v>
      </c>
      <c r="AG37" s="215" t="str" cm="1">
        <f t="array" aca="1" ref="AG37" ca="1">IF($B37="","",IF(ISBLANK(INDIRECT("R7.Video!D"&amp;SUM(18,38*6,18))),"",INDIRECT("R7.Video!D"&amp;SUM(18,38*6,18))))</f>
        <v>N/T</v>
      </c>
      <c r="AH37" s="215" t="str" cm="1">
        <f t="array" aca="1" ref="AH37" ca="1">IF($B37="","",IF(ISBLANK(INDIRECT("R7.Video!D"&amp;SUM(18,38*7,18))),"",INDIRECT("R7.Video!D"&amp;SUM(18,38*7,18))))</f>
        <v>N/T</v>
      </c>
      <c r="AI37" s="215" t="str" cm="1">
        <f t="array" aca="1" ref="AI37" ca="1">IF($B37="","",IF(ISBLANK(INDIRECT("R7.Video!D"&amp;SUM(18,38*8,18))),"",INDIRECT("R7.Video!D"&amp;SUM(18,38*8,18))))</f>
        <v>N/T</v>
      </c>
      <c r="AJ37" s="215" t="str" cm="1">
        <f t="array" aca="1" ref="AJ37" ca="1">IF($B37="","",IF(ISBLANK(INDIRECT("R9.Web!D"&amp;SUM(18,38*0,18))),"",INDIRECT("R9.Web!D"&amp;SUM(18,38*0,18))))</f>
        <v>N/D</v>
      </c>
      <c r="AK37" s="215" t="str" cm="1">
        <f t="array" aca="1" ref="AK37" ca="1">IF($B37="","",IF(ISBLANK(INDIRECT("R9.Web!D"&amp;SUM(18,38*1,18))),"",INDIRECT("R9.Web!D"&amp;SUM(18,38*1,18))))</f>
        <v>N/T</v>
      </c>
      <c r="AL37" s="215" t="str" cm="1">
        <f t="array" aca="1" ref="AL37" ca="1">IF($B37="","",IF(ISBLANK(INDIRECT("R9.Web!D"&amp;SUM(18,38*2,18))),"",INDIRECT("R9.Web!D"&amp;SUM(18,38*2,18))))</f>
        <v>N/T</v>
      </c>
      <c r="AM37" s="215" t="str" cm="1">
        <f t="array" aca="1" ref="AM37" ca="1">IF($B37="","",IF(ISBLANK(INDIRECT("R9.Web!D"&amp;SUM(18,38*3,18))),"",INDIRECT("R9.Web!D"&amp;SUM(18,38*3,18))))</f>
        <v>N/T</v>
      </c>
      <c r="AN37" s="215" t="str" cm="1">
        <f t="array" aca="1" ref="AN37" ca="1">IF($B37="","",IF(ISBLANK(INDIRECT("R9.Web!D"&amp;SUM(18,38*4,18))),"",INDIRECT("R9.Web!D"&amp;SUM(18,38*4,18))))</f>
        <v>N/T</v>
      </c>
      <c r="AO37" s="215" t="str" cm="1">
        <f t="array" aca="1" ref="AO37" ca="1">IF($B37="","",IF(ISBLANK(INDIRECT("R9.Web!D"&amp;SUM(18,38*5,18))),"",INDIRECT("R9.Web!D"&amp;SUM(18,38*5,18))))</f>
        <v>N/D</v>
      </c>
      <c r="AP37" s="215" t="str" cm="1">
        <f t="array" aca="1" ref="AP37" ca="1">IF($B37="","",IF(ISBLANK(INDIRECT("R9.Web!D"&amp;SUM(18,38*6,18))),"",INDIRECT("R9.Web!D"&amp;SUM(18,38*6,18))))</f>
        <v>N/T</v>
      </c>
      <c r="AQ37" s="215" t="str" cm="1">
        <f t="array" aca="1" ref="AQ37" ca="1">IF($B37="","",IF(ISBLANK(INDIRECT("R9.Web!D"&amp;SUM(18,38*7,18))),"",INDIRECT("R9.Web!D"&amp;SUM(18,38*7,18))))</f>
        <v>N/T</v>
      </c>
      <c r="AR37" s="215" t="str" cm="1">
        <f t="array" aca="1" ref="AR37" ca="1">IF($B37="","",IF(ISBLANK(INDIRECT("R9.Web!D"&amp;SUM(18,38*8,18))),"",INDIRECT("R9.Web!D"&amp;SUM(18,38*8,18))))</f>
        <v>N/D</v>
      </c>
      <c r="AS37" s="215" t="str" cm="1">
        <f t="array" aca="1" ref="AS37" ca="1">IF($B37="","",IF(ISBLANK(INDIRECT("R9.Web!D"&amp;SUM(18,38*9,18))),"",INDIRECT("R9.Web!D"&amp;SUM(18,38*9,18))))</f>
        <v>N/D</v>
      </c>
      <c r="AT37" s="215" t="str" cm="1">
        <f t="array" aca="1" ref="AT37" ca="1">IF($B37="","",IF(ISBLANK(INDIRECT("R9.Web!D"&amp;SUM(18,38*10,18))),"",INDIRECT("R9.Web!D"&amp;SUM(18,38*10,18))))</f>
        <v>N/T</v>
      </c>
      <c r="AU37" s="215" t="str" cm="1">
        <f t="array" aca="1" ref="AU37" ca="1">IF($B37="","",IF(ISBLANK(INDIRECT("R9.Web!D"&amp;SUM(18,38*11,18))),"",INDIRECT("R9.Web!D"&amp;SUM(18,38*11,18))))</f>
        <v>N/T</v>
      </c>
      <c r="AV37" s="215" t="str" cm="1">
        <f t="array" aca="1" ref="AV37" ca="1">IF($B37="","",IF(ISBLANK(INDIRECT("R9.Web!D"&amp;SUM(18,38*12,18))),"",INDIRECT("R9.Web!D"&amp;SUM(18,38*12,18))))</f>
        <v>N/D</v>
      </c>
      <c r="AW37" s="215" t="str" cm="1">
        <f t="array" aca="1" ref="AW37" ca="1">IF($B37="","",IF(ISBLANK(INDIRECT("R9.Web!D"&amp;SUM(18,38*13,18))),"",INDIRECT("R9.Web!D"&amp;SUM(18,38*13,18))))</f>
        <v>N/T</v>
      </c>
      <c r="AX37" s="215" t="str" cm="1">
        <f t="array" aca="1" ref="AX37" ca="1">IF($B37="","",IF(ISBLANK(INDIRECT("R9.Web!D"&amp;SUM(18,38*14,18))),"",INDIRECT("R9.Web!D"&amp;SUM(18,38*14,18))))</f>
        <v>N/T</v>
      </c>
      <c r="AY37" s="215" t="str" cm="1">
        <f t="array" aca="1" ref="AY37" ca="1">IF($B37="","",IF(ISBLANK(INDIRECT("R9.Web!D"&amp;SUM(18,38*15,18))),"",INDIRECT("R9.Web!D"&amp;SUM(18,38*15,18))))</f>
        <v>N/D</v>
      </c>
      <c r="AZ37" s="215" t="str" cm="1">
        <f t="array" aca="1" ref="AZ37" ca="1">IF($B37="","",IF(ISBLANK(INDIRECT("R9.Web!D"&amp;SUM(18,38*16,18))),"",INDIRECT("R9.Web!D"&amp;SUM(18,38*16,18))))</f>
        <v>N/T</v>
      </c>
      <c r="BA37" s="215" t="str" cm="1">
        <f t="array" aca="1" ref="BA37" ca="1">IF($B37="","",IF(ISBLANK(INDIRECT("R9.Web!D"&amp;SUM(18,38*17,18))),"",INDIRECT("R9.Web!D"&amp;SUM(18,38*17,18))))</f>
        <v>N/D</v>
      </c>
      <c r="BB37" s="215" t="str" cm="1">
        <f t="array" aca="1" ref="BB37" ca="1">IF($B37="","",IF(ISBLANK(INDIRECT("R9.Web!D"&amp;SUM(18,38*18,18))),"",INDIRECT("R9.Web!D"&amp;SUM(18,38*18,18))))</f>
        <v>N/T</v>
      </c>
      <c r="BC37" s="215" t="str" cm="1">
        <f t="array" aca="1" ref="BC37" ca="1">IF($B37="","",IF(ISBLANK(INDIRECT("R9.Web!D"&amp;SUM(18,38*19,18))),"",INDIRECT("R9.Web!D"&amp;SUM(18,38*19,18))))</f>
        <v>N/D</v>
      </c>
      <c r="BD37" s="215" t="str" cm="1">
        <f t="array" aca="1" ref="BD37" ca="1">IF($B37="","",IF(ISBLANK(INDIRECT("R9.Web!D"&amp;SUM(18,38*20,18))),"",INDIRECT("R9.Web!D"&amp;SUM(18,38*20,18))))</f>
        <v>N/T</v>
      </c>
      <c r="BE37" s="215" t="str" cm="1">
        <f t="array" aca="1" ref="BE37" ca="1">IF($B37="","",IF(ISBLANK(INDIRECT("R9.Web!D"&amp;SUM(18,38*21,18))),"",INDIRECT("R9.Web!D"&amp;SUM(18,38*21,18))))</f>
        <v>N/T</v>
      </c>
      <c r="BF37" s="215" t="str" cm="1">
        <f t="array" aca="1" ref="BF37" ca="1">IF($B37="","",IF(ISBLANK(INDIRECT("R9.Web!D"&amp;SUM(18,38*22,18))),"",INDIRECT("R9.Web!D"&amp;SUM(18,38*22,18))))</f>
        <v>N/D</v>
      </c>
      <c r="BG37" s="215" t="str" cm="1">
        <f t="array" aca="1" ref="BG37" ca="1">IF($B37="","",IF(ISBLANK(INDIRECT("R9.Web!D"&amp;SUM(18,38*23,18))),"",INDIRECT("R9.Web!D"&amp;SUM(18,38*23,18))))</f>
        <v>N/D</v>
      </c>
      <c r="BH37" s="215" t="str" cm="1">
        <f t="array" aca="1" ref="BH37" ca="1">IF($B37="","",IF(ISBLANK(INDIRECT("R9.Web!D"&amp;SUM(18,38*24,18))),"",INDIRECT("R9.Web!D"&amp;SUM(18,38*24,18))))</f>
        <v>N/T</v>
      </c>
      <c r="BI37" s="215" t="str" cm="1">
        <f t="array" aca="1" ref="BI37" ca="1">IF($B37="","",IF(ISBLANK(INDIRECT("R9.Web!D"&amp;SUM(18,38*25,18))),"",INDIRECT("R9.Web!D"&amp;SUM(18,38*25,18))))</f>
        <v>N/D</v>
      </c>
      <c r="BJ37" s="215" t="str" cm="1">
        <f t="array" aca="1" ref="BJ37" ca="1">IF($B37="","",IF(ISBLANK(INDIRECT("R9.Web!D"&amp;SUM(18,38*26,18))),"",INDIRECT("R9.Web!D"&amp;SUM(18,38*26,18))))</f>
        <v>N/D</v>
      </c>
      <c r="BK37" s="215" t="str" cm="1">
        <f t="array" aca="1" ref="BK37" ca="1">IF($B37="","",IF(ISBLANK(INDIRECT("R9.Web!D"&amp;SUM(18,38*27,18))),"",INDIRECT("R9.Web!D"&amp;SUM(18,38*27,18))))</f>
        <v>N/D</v>
      </c>
      <c r="BL37" s="215" t="str" cm="1">
        <f t="array" aca="1" ref="BL37" ca="1">IF($B37="","",IF(ISBLANK(INDIRECT("R9.Web!D"&amp;SUM(18,38*28,18))),"",INDIRECT("R9.Web!D"&amp;SUM(18,38*28,18))))</f>
        <v>N/D</v>
      </c>
      <c r="BM37" s="215" t="str" cm="1">
        <f t="array" aca="1" ref="BM37" ca="1">IF($B37="","",IF(ISBLANK(INDIRECT("R9.Web!D"&amp;SUM(18,38*29,18))),"",INDIRECT("R9.Web!D"&amp;SUM(18,38*29,18))))</f>
        <v>N/D</v>
      </c>
      <c r="BN37" s="215" t="str" cm="1">
        <f t="array" aca="1" ref="BN37" ca="1">IF($B37="","",IF(ISBLANK(INDIRECT("R9.Web!D"&amp;SUM(18,38*30,18))),"",INDIRECT("R9.Web!D"&amp;SUM(18,38*30,18))))</f>
        <v>N/T</v>
      </c>
      <c r="BO37" s="215" t="str" cm="1">
        <f t="array" aca="1" ref="BO37" ca="1">IF($B37="","",IF(ISBLANK(INDIRECT("R9.Web!D"&amp;SUM(18,38*31,18))),"",INDIRECT("R9.Web!D"&amp;SUM(18,38*31,18))))</f>
        <v>N/D</v>
      </c>
      <c r="BP37" s="215" t="str" cm="1">
        <f t="array" aca="1" ref="BP37" ca="1">IF($B37="","",IF(ISBLANK(INDIRECT("R9.Web!D"&amp;SUM(18,38*32,18))),"",INDIRECT("R9.Web!D"&amp;SUM(18,38*32,18))))</f>
        <v>N/T</v>
      </c>
      <c r="BQ37" s="215" t="str" cm="1">
        <f t="array" aca="1" ref="BQ37" ca="1">IF($B37="","",IF(ISBLANK(INDIRECT("R9.Web!D"&amp;SUM(18,38*33,18))),"",INDIRECT("R9.Web!D"&amp;SUM(18,38*33,18))))</f>
        <v>N/T</v>
      </c>
      <c r="BR37" s="215" t="str" cm="1">
        <f t="array" aca="1" ref="BR37" ca="1">IF($B37="","",IF(ISBLANK(INDIRECT("R9.Web!D"&amp;SUM(18,38*34,18))),"",INDIRECT("R9.Web!D"&amp;SUM(18,38*34,18))))</f>
        <v>N/D</v>
      </c>
      <c r="BS37" s="215" t="str" cm="1">
        <f t="array" aca="1" ref="BS37" ca="1">IF($B37="","",IF(ISBLANK(INDIRECT("R9.Web!D"&amp;SUM(18,38*35,18))),"",INDIRECT("R9.Web!D"&amp;SUM(18,38*35,18))))</f>
        <v>N/T</v>
      </c>
      <c r="BT37" s="215" t="str" cm="1">
        <f t="array" aca="1" ref="BT37" ca="1">IF($B37="","",IF(ISBLANK(INDIRECT("R9.Web!D"&amp;SUM(18,38*36,18))),"",INDIRECT("R9.Web!D"&amp;SUM(18,38*36,18))))</f>
        <v>N/D</v>
      </c>
      <c r="BU37" s="215" t="str" cm="1">
        <f t="array" aca="1" ref="BU37" ca="1">IF($B37="","",IF(ISBLANK(INDIRECT("R9.Web!D"&amp;SUM(18,38*37,18))),"",INDIRECT("R9.Web!D"&amp;SUM(18,38*37,18))))</f>
        <v>N/D</v>
      </c>
      <c r="BV37" s="215" t="str" cm="1">
        <f t="array" aca="1" ref="BV37" ca="1">IF($B37="","",IF(ISBLANK(INDIRECT("R9.Web!D"&amp;SUM(18,38*38,18))),"",INDIRECT("R9.Web!D"&amp;SUM(18,38*38,18))))</f>
        <v>N/D</v>
      </c>
      <c r="BW37" s="215" t="str" cm="1">
        <f t="array" aca="1" ref="BW37" ca="1">IF($B37="","",IF(ISBLANK(INDIRECT("R9.Web!D"&amp;SUM(18,38*39,18))),"",INDIRECT("R9.Web!D"&amp;SUM(18,38*39,18))))</f>
        <v>N/D</v>
      </c>
      <c r="BX37" s="215" t="str" cm="1">
        <f t="array" aca="1" ref="BX37" ca="1">IF($B37="","",IF(ISBLANK(INDIRECT("R9.Web!D"&amp;SUM(18,38*40,18))),"",INDIRECT("R9.Web!D"&amp;SUM(18,38*40,18))))</f>
        <v>N/D</v>
      </c>
      <c r="BY37" s="215" t="str" cm="1">
        <f t="array" aca="1" ref="BY37" ca="1">IF($B37="","",IF(ISBLANK(INDIRECT("R9.Web!D"&amp;SUM(18,38*41,18))),"",INDIRECT("R9.Web!D"&amp;SUM(18,38*41,18))))</f>
        <v>N/T</v>
      </c>
      <c r="BZ37" s="215" t="str" cm="1">
        <f t="array" aca="1" ref="BZ37" ca="1">IF($B37="","",IF(ISBLANK(INDIRECT("R9.Web!D"&amp;SUM(18,38*42,18))),"",INDIRECT("R9.Web!D"&amp;SUM(18,38*42,18))))</f>
        <v>N/T</v>
      </c>
      <c r="CA37" s="215" t="str" cm="1">
        <f t="array" aca="1" ref="CA37" ca="1">IF($B37="","",IF(ISBLANK(INDIRECT("R9.Web!D"&amp;SUM(18,38*43,18))),"",INDIRECT("R9.Web!D"&amp;SUM(18,38*43,18))))</f>
        <v>N/D</v>
      </c>
      <c r="CB37" s="215" t="str" cm="1">
        <f t="array" aca="1" ref="CB37" ca="1">IF($B37="","",IF(ISBLANK(INDIRECT("R9.Web!D"&amp;SUM(18,38*44,18))),"",INDIRECT("R9.Web!D"&amp;SUM(18,38*44,18))))</f>
        <v>N/T</v>
      </c>
      <c r="CC37" s="215" t="str" cm="1">
        <f t="array" aca="1" ref="CC37" ca="1">IF($B37="","",IF(ISBLANK(INDIRECT("R9.Web!D"&amp;SUM(18,38*45,18))),"",INDIRECT("R9.Web!D"&amp;SUM(18,38*45,18))))</f>
        <v>N/T</v>
      </c>
      <c r="CD37" s="215" t="str" cm="1">
        <f t="array" aca="1" ref="CD37" ca="1">IF($B37="","",IF(ISBLANK(INDIRECT("R9.Web!D"&amp;SUM(18,38*46,18))),"",INDIRECT("R9.Web!D"&amp;SUM(18,38*46,18))))</f>
        <v>N/T</v>
      </c>
      <c r="CE37" s="215" t="str" cm="1">
        <f t="array" aca="1" ref="CE37" ca="1">IF($B37="","",IF(ISBLANK(INDIRECT("R9.Web!D"&amp;SUM(18,38*47,18))),"",INDIRECT("R9.Web!D"&amp;SUM(18,38*47,18))))</f>
        <v>N/D</v>
      </c>
      <c r="CF37" s="215" t="str" cm="1">
        <f t="array" aca="1" ref="CF37" ca="1">IF($B37="","",IF(ISBLANK(INDIRECT("R9.Web!D"&amp;SUM(18,38*48,18))),"",INDIRECT("R9.Web!D"&amp;SUM(18,38*48,18))))</f>
        <v>N/T</v>
      </c>
      <c r="CG37" s="215" t="str" cm="1">
        <f t="array" aca="1" ref="CG37" ca="1">IF($B37="","",IF(ISBLANK(INDIRECT("R9.Web!D"&amp;SUM(18,38*49,18))),"",INDIRECT("R9.Web!D"&amp;SUM(18,38*49,18))))</f>
        <v>N/T</v>
      </c>
      <c r="CH37" s="215" t="str" cm="1">
        <f t="array" aca="1" ref="CH37" ca="1">IF($B37="","",IF(ISBLANK(INDIRECT("R11.Software!D"&amp;SUM(18,38*0,18))),"",INDIRECT("R11.Software!D"&amp;SUM(18,38*0,18))))</f>
        <v>N/T</v>
      </c>
      <c r="CI37" s="215" t="str" cm="1">
        <f t="array" aca="1" ref="CI37" ca="1">IF($B37="","",IF(ISBLANK(INDIRECT("R11.Software!D"&amp;SUM(18,38*1,18))),"",INDIRECT("R11.Software!D"&amp;SUM(18,38*1,18))))</f>
        <v>N/T</v>
      </c>
      <c r="CJ37" s="215" t="str" cm="1">
        <f t="array" aca="1" ref="CJ37" ca="1">IF($B37="","",IF(ISBLANK(INDIRECT("R11.Software!D"&amp;SUM(18,38*2,18))),"",INDIRECT("R11.Software!D"&amp;SUM(18,38*2,18))))</f>
        <v>N/T</v>
      </c>
      <c r="CK37" s="215" t="str" cm="1">
        <f t="array" aca="1" ref="CK37" ca="1">IF($B37="","",IF(ISBLANK(INDIRECT("R11.Software!D"&amp;SUM(18,38*3,18))),"",INDIRECT("R11.Software!D"&amp;SUM(18,38*3,18))))</f>
        <v>N/T</v>
      </c>
      <c r="CL37" s="215" t="str" cm="1">
        <f t="array" aca="1" ref="CL37" ca="1">IF($B37="","",IF(ISBLANK(INDIRECT("R11.Software!D"&amp;SUM(18,38*4,18))),"",INDIRECT("R11.Software!D"&amp;SUM(18,38*4,18))))</f>
        <v>N/T</v>
      </c>
      <c r="CM37" s="215" t="str" cm="1">
        <f t="array" aca="1" ref="CM37" ca="1">IF($B37="","",IF(ISBLANK(INDIRECT("R11.Software!D"&amp;SUM(18,38*5,18))),"",INDIRECT("R11.Software!D"&amp;SUM(18,38*5,18))))</f>
        <v>N/T</v>
      </c>
      <c r="CN37" s="215" t="str" cm="1">
        <f t="array" aca="1" ref="CN37" ca="1">IF($B37="","",IF(ISBLANK(INDIRECT("R12.ServiciosApoyo!D"&amp;SUM(18,38*0,18))),"",INDIRECT("R12.ServiciosApoyo!D"&amp;SUM(18,38*0,18))))</f>
        <v>N/T</v>
      </c>
      <c r="CO37" s="215" t="str" cm="1">
        <f t="array" aca="1" ref="CO37" ca="1">IF($B37="","",IF(ISBLANK(INDIRECT("R12.ServiciosApoyo!D"&amp;SUM(18,38*1,18))),"",INDIRECT("R12.ServiciosApoyo!D"&amp;SUM(18,38*1,18))))</f>
        <v>N/T</v>
      </c>
      <c r="CP37" s="215" t="str" cm="1">
        <f t="array" aca="1" ref="CP37" ca="1">IF($B37="","",IF(ISBLANK(INDIRECT("R12.ServiciosApoyo!D"&amp;SUM(18,38*2,18))),"",INDIRECT("R12.ServiciosApoyo!D"&amp;SUM(18,38*2,18))))</f>
        <v>N/T</v>
      </c>
      <c r="CQ37" s="215" t="str" cm="1">
        <f t="array" aca="1" ref="CQ37" ca="1">IF($B37="","",IF(ISBLANK(INDIRECT("R12.ServiciosApoyo!D"&amp;SUM(18,38*3,18))),"",INDIRECT("R12.ServiciosApoyo!D"&amp;SUM(18,38*3,18))))</f>
        <v>N/T</v>
      </c>
      <c r="CR37" s="215" t="str" cm="1">
        <f t="array" aca="1" ref="CR37" ca="1">IF($B37="","",IF(ISBLANK(INDIRECT("R12.ServiciosApoyo!D"&amp;SUM(18,38*4,18))),"",INDIRECT("R12.ServiciosApoyo!D"&amp;SUM(18,38*4,18))))</f>
        <v>N/T</v>
      </c>
      <c r="CU37" s="100"/>
      <c r="CV37" s="29"/>
      <c r="CW37" s="29"/>
      <c r="CX37" s="29"/>
    </row>
    <row r="38" spans="2:102" ht="20.25">
      <c r="B38" s="181" t="n" cm="1">
        <f t="array" ref="B38">IFERROR(INDEX('03.Muestra'!$B$8:$B$42,SMALL(IF("Página Web"='03.Muestra'!$D$8:$D$42,ROW('03.Muestra'!$B$8:$B$42)-MIN(ROW('03.Muestra'!$D$8:$D$42))+1,""),ROW()-19)),"")</f>
        <v>1.0</v>
      </c>
      <c r="C38" s="97" t="str" cm="1">
        <f t="array" ref="C38">IFERROR(INDEX('03.Muestra'!$C$8:$C$42,SMALL(IF("Página Web"='03.Muestra'!$D$8:$D$42,ROW('03.Muestra'!$C$8:$C$42)-MIN(ROW('03.Muestra'!$D$8:$D$42))+1,""),ROW()-19)),"")</f>
        <v>Home - PortCastelló</v>
      </c>
      <c r="D38" s="98" t="str" cm="1">
        <f t="array" ref="D38">IFERROR(INDEX('03.Muestra'!$F$8:$F$42,SMALL(IF("Página Web"='03.Muestra'!$D$8:$D$42,ROW('03.Muestra'!$F$8:$F$42)-MIN(ROW('03.Muestra'!$D$8:$D$42))+1,""),ROW()-19)),"")</f>
        <v>https://www.portcastello.com/</v>
      </c>
      <c r="E38" s="215" t="str" cm="1">
        <f t="array" aca="1" ref="E38" ca="1">IF($B38="","",IF(ISBLANK(INDIRECT("R5.Genéricos!D"&amp;SUM(18,38*0,19))),"",INDIRECT("R5.Genéricos!D"&amp;SUM(18,38*0,19))))</f>
        <v>N/T</v>
      </c>
      <c r="F38" s="215" t="str" cm="1">
        <f t="array" aca="1" ref="F38" ca="1">IF($B38="","",IF(ISBLANK(INDIRECT("R5.Genéricos!D"&amp;SUM(18,38*1,19))),"",INDIRECT("R5.Genéricos!D"&amp;SUM(18,38*1,19))))</f>
        <v>N/T</v>
      </c>
      <c r="G38" s="215" t="str" cm="1">
        <f t="array" aca="1" ref="G38" ca="1">IF($B38="","",IF(ISBLANK(INDIRECT("R5.Genéricos!D"&amp;SUM(18,38*2,19))),"",INDIRECT("R5.Genéricos!D"&amp;SUM(18,38*2,19))))</f>
        <v>N/T</v>
      </c>
      <c r="H38" s="215" t="str" cm="1">
        <f t="array" aca="1" ref="H38" ca="1">IF($B38="","",IF(ISBLANK(INDIRECT("R6.Voz!D"&amp;SUM(18,38*0,19))),"",INDIRECT("R6.Voz!D"&amp;SUM(18,38*0,19))))</f>
        <v>N/T</v>
      </c>
      <c r="I38" s="215" t="str" cm="1">
        <f t="array" aca="1" ref="I38" ca="1">IF($B38="","",IF(ISBLANK(INDIRECT("R6.Voz!D"&amp;SUM(18,38*1,19))),"",INDIRECT("R6.Voz!D"&amp;SUM(18,38*1,19))))</f>
        <v>N/T</v>
      </c>
      <c r="J38" s="215" t="str" cm="1">
        <f t="array" aca="1" ref="J38" ca="1">IF($B38="","",IF(ISBLANK(INDIRECT("R6.Voz!D"&amp;SUM(18,38*2,19))),"",INDIRECT("R6.Voz!D"&amp;SUM(18,38*2,19))))</f>
        <v>N/T</v>
      </c>
      <c r="K38" s="215" t="str" cm="1">
        <f t="array" aca="1" ref="K38" ca="1">IF($B38="","",IF(ISBLANK(INDIRECT("R6.Voz!D"&amp;SUM(18,38*3,19))),"",INDIRECT("R6.Voz!D"&amp;SUM(18,38*3,19))))</f>
        <v>N/T</v>
      </c>
      <c r="L38" s="215" t="str" cm="1">
        <f t="array" aca="1" ref="L38" ca="1">IF($B38="","",IF(ISBLANK(INDIRECT("R6.Voz!D"&amp;SUM(18,38*4,19))),"",INDIRECT("R6.Voz!D"&amp;SUM(18,38*4,19))))</f>
        <v>N/T</v>
      </c>
      <c r="M38" s="215" t="str" cm="1">
        <f t="array" aca="1" ref="M38" ca="1">IF($B38="","",IF(ISBLANK(INDIRECT("R6.Voz!D"&amp;SUM(18,38*5,19))),"",INDIRECT("R6.Voz!D"&amp;SUM(18,38*5,19))))</f>
        <v>N/T</v>
      </c>
      <c r="N38" s="215" t="str" cm="1">
        <f t="array" aca="1" ref="N38" ca="1">IF($B38="","",IF(ISBLANK(INDIRECT("R6.Voz!D"&amp;SUM(18,38*6,19))),"",INDIRECT("R6.Voz!D"&amp;SUM(18,38*6,19))))</f>
        <v>N/T</v>
      </c>
      <c r="O38" s="215" t="str" cm="1">
        <f t="array" aca="1" ref="O38" ca="1">IF($B38="","",IF(ISBLANK(INDIRECT("R6.Voz!D"&amp;SUM(18,38*7,19))),"",INDIRECT("R6.Voz!D"&amp;SUM(18,38*7,19))))</f>
        <v>N/T</v>
      </c>
      <c r="P38" s="215" t="str" cm="1">
        <f t="array" aca="1" ref="P38" ca="1">IF($B38="","",IF(ISBLANK(INDIRECT("R6.Voz!D"&amp;SUM(18,38*8,19))),"",INDIRECT("R6.Voz!D"&amp;SUM(18,38*8,19))))</f>
        <v>N/T</v>
      </c>
      <c r="Q38" s="215" t="str" cm="1">
        <f t="array" aca="1" ref="Q38" ca="1">IF($B38="","",IF(ISBLANK(INDIRECT("R6.Voz!D"&amp;SUM(18,38*9,19))),"",INDIRECT("R6.Voz!D"&amp;SUM(18,38*9,19))))</f>
        <v>N/T</v>
      </c>
      <c r="R38" s="215" t="str" cm="1">
        <f t="array" aca="1" ref="R38" ca="1">IF($B38="","",IF(ISBLANK(INDIRECT("R6.Voz!D"&amp;SUM(18,38*10,19))),"",INDIRECT("R6.Voz!D"&amp;SUM(18,38*10,19))))</f>
        <v>N/T</v>
      </c>
      <c r="S38" s="215" t="str" cm="1">
        <f t="array" aca="1" ref="S38" ca="1">IF($B38="","",IF(ISBLANK(INDIRECT("R6.Voz!D"&amp;SUM(18,38*11,19))),"",INDIRECT("R6.Voz!D"&amp;SUM(18,38*11,19))))</f>
        <v>N/T</v>
      </c>
      <c r="T38" s="215" t="str" cm="1">
        <f t="array" aca="1" ref="T38" ca="1">IF($B38="","",IF(ISBLANK(INDIRECT("R6.Voz!D"&amp;SUM(18,38*12,19))),"",INDIRECT("R6.Voz!D"&amp;SUM(18,38*12,19))))</f>
        <v>N/T</v>
      </c>
      <c r="U38" s="215" t="str" cm="1">
        <f t="array" aca="1" ref="U38" ca="1">IF($B38="","",IF(ISBLANK(INDIRECT("R6.Voz!D"&amp;SUM(18,38*13,19))),"",INDIRECT("R6.Voz!D"&amp;SUM(18,38*13,19))))</f>
        <v>N/T</v>
      </c>
      <c r="V38" s="215" t="str" cm="1">
        <f t="array" aca="1" ref="V38" ca="1">IF($B38="","",IF(ISBLANK(INDIRECT("R6.Voz!D"&amp;SUM(18,38*14,19))),"",INDIRECT("R6.Voz!D"&amp;SUM(18,38*14,19))))</f>
        <v>N/T</v>
      </c>
      <c r="W38" s="215" t="str" cm="1">
        <f t="array" aca="1" ref="W38" ca="1">IF($B38="","",IF(ISBLANK(INDIRECT("R6.Voz!D"&amp;SUM(18,38*15,19))),"",INDIRECT("R6.Voz!D"&amp;SUM(18,38*15,19))))</f>
        <v>N/T</v>
      </c>
      <c r="X38" s="215" t="str" cm="1">
        <f t="array" aca="1" ref="X38" ca="1">IF($B38="","",IF(ISBLANK(INDIRECT("R6.Voz!D"&amp;SUM(18,38*16,19))),"",INDIRECT("R6.Voz!D"&amp;SUM(18,38*16,19))))</f>
        <v>N/T</v>
      </c>
      <c r="Y38" s="215" t="str" cm="1">
        <f t="array" aca="1" ref="Y38" ca="1">IF($B38="","",IF(ISBLANK(INDIRECT("R6.Voz!D"&amp;SUM(18,38*17,19))),"",INDIRECT("R6.Voz!D"&amp;SUM(18,38*17,19))))</f>
        <v>N/T</v>
      </c>
      <c r="Z38" s="215" t="str" cm="1">
        <f t="array" aca="1" ref="Z38" ca="1">IF($B38="","",IF(ISBLANK(INDIRECT("R6.Voz!D"&amp;SUM(18,38*18,19))),"",INDIRECT("R6.Voz!D"&amp;SUM(18,38*18,19))))</f>
        <v>N/T</v>
      </c>
      <c r="AA38" s="215" t="str" cm="1">
        <f t="array" aca="1" ref="AA38" ca="1">IF($B38="","",IF(ISBLANK(INDIRECT("R7.Video!D"&amp;SUM(18,38*0,19))),"",INDIRECT("R7.Video!D"&amp;SUM(18,38*0,19))))</f>
        <v>N/T</v>
      </c>
      <c r="AB38" s="215" t="str" cm="1">
        <f t="array" aca="1" ref="AB38" ca="1">IF($B38="","",IF(ISBLANK(INDIRECT("R7.Video!D"&amp;SUM(18,38*1,19))),"",INDIRECT("R7.Video!D"&amp;SUM(18,38*1,19))))</f>
        <v>N/T</v>
      </c>
      <c r="AC38" s="215" t="str" cm="1">
        <f t="array" aca="1" ref="AC38" ca="1">IF($B38="","",IF(ISBLANK(INDIRECT("R7.Video!D"&amp;SUM(18,38*2,19))),"",INDIRECT("R7.Video!D"&amp;SUM(18,38*2,19))))</f>
        <v>N/T</v>
      </c>
      <c r="AD38" s="215" t="str" cm="1">
        <f t="array" aca="1" ref="AD38" ca="1">IF($B38="","",IF(ISBLANK(INDIRECT("R7.Video!D"&amp;SUM(18,38*3,19))),"",INDIRECT("R7.Video!D"&amp;SUM(18,38*3,19))))</f>
        <v>N/T</v>
      </c>
      <c r="AE38" s="215" t="str" cm="1">
        <f t="array" aca="1" ref="AE38" ca="1">IF($B38="","",IF(ISBLANK(INDIRECT("R7.Video!D"&amp;SUM(18,38*4,19))),"",INDIRECT("R7.Video!D"&amp;SUM(18,38*4,19))))</f>
        <v>N/T</v>
      </c>
      <c r="AF38" s="215" t="str" cm="1">
        <f t="array" aca="1" ref="AF38" ca="1">IF($B38="","",IF(ISBLANK(INDIRECT("R7.Video!D"&amp;SUM(18,38*5,19))),"",INDIRECT("R7.Video!D"&amp;SUM(18,38*5,19))))</f>
        <v>N/T</v>
      </c>
      <c r="AG38" s="215" t="str" cm="1">
        <f t="array" aca="1" ref="AG38" ca="1">IF($B38="","",IF(ISBLANK(INDIRECT("R7.Video!D"&amp;SUM(18,38*6,19))),"",INDIRECT("R7.Video!D"&amp;SUM(18,38*6,19))))</f>
        <v>N/T</v>
      </c>
      <c r="AH38" s="215" t="str" cm="1">
        <f t="array" aca="1" ref="AH38" ca="1">IF($B38="","",IF(ISBLANK(INDIRECT("R7.Video!D"&amp;SUM(18,38*7,19))),"",INDIRECT("R7.Video!D"&amp;SUM(18,38*7,19))))</f>
        <v>N/T</v>
      </c>
      <c r="AI38" s="215" t="str" cm="1">
        <f t="array" aca="1" ref="AI38" ca="1">IF($B38="","",IF(ISBLANK(INDIRECT("R7.Video!D"&amp;SUM(18,38*8,19))),"",INDIRECT("R7.Video!D"&amp;SUM(18,38*8,19))))</f>
        <v>N/T</v>
      </c>
      <c r="AJ38" s="215" t="str" cm="1">
        <f t="array" aca="1" ref="AJ38" ca="1">IF($B38="","",IF(ISBLANK(INDIRECT("R9.Web!D"&amp;SUM(18,38*0,19))),"",INDIRECT("R9.Web!D"&amp;SUM(18,38*0,19))))</f>
        <v>N/D</v>
      </c>
      <c r="AK38" s="215" t="str" cm="1">
        <f t="array" aca="1" ref="AK38" ca="1">IF($B38="","",IF(ISBLANK(INDIRECT("R9.Web!D"&amp;SUM(18,38*1,19))),"",INDIRECT("R9.Web!D"&amp;SUM(18,38*1,19))))</f>
        <v>N/T</v>
      </c>
      <c r="AL38" s="215" t="str" cm="1">
        <f t="array" aca="1" ref="AL38" ca="1">IF($B38="","",IF(ISBLANK(INDIRECT("R9.Web!D"&amp;SUM(18,38*2,19))),"",INDIRECT("R9.Web!D"&amp;SUM(18,38*2,19))))</f>
        <v>N/T</v>
      </c>
      <c r="AM38" s="215" t="str" cm="1">
        <f t="array" aca="1" ref="AM38" ca="1">IF($B38="","",IF(ISBLANK(INDIRECT("R9.Web!D"&amp;SUM(18,38*3,19))),"",INDIRECT("R9.Web!D"&amp;SUM(18,38*3,19))))</f>
        <v>N/T</v>
      </c>
      <c r="AN38" s="215" t="str" cm="1">
        <f t="array" aca="1" ref="AN38" ca="1">IF($B38="","",IF(ISBLANK(INDIRECT("R9.Web!D"&amp;SUM(18,38*4,19))),"",INDIRECT("R9.Web!D"&amp;SUM(18,38*4,19))))</f>
        <v>N/T</v>
      </c>
      <c r="AO38" s="215" t="str" cm="1">
        <f t="array" aca="1" ref="AO38" ca="1">IF($B38="","",IF(ISBLANK(INDIRECT("R9.Web!D"&amp;SUM(18,38*5,19))),"",INDIRECT("R9.Web!D"&amp;SUM(18,38*5,19))))</f>
        <v>N/D</v>
      </c>
      <c r="AP38" s="215" t="str" cm="1">
        <f t="array" aca="1" ref="AP38" ca="1">IF($B38="","",IF(ISBLANK(INDIRECT("R9.Web!D"&amp;SUM(18,38*6,19))),"",INDIRECT("R9.Web!D"&amp;SUM(18,38*6,19))))</f>
        <v>N/T</v>
      </c>
      <c r="AQ38" s="215" t="str" cm="1">
        <f t="array" aca="1" ref="AQ38" ca="1">IF($B38="","",IF(ISBLANK(INDIRECT("R9.Web!D"&amp;SUM(18,38*7,19))),"",INDIRECT("R9.Web!D"&amp;SUM(18,38*7,19))))</f>
        <v>N/T</v>
      </c>
      <c r="AR38" s="215" t="str" cm="1">
        <f t="array" aca="1" ref="AR38" ca="1">IF($B38="","",IF(ISBLANK(INDIRECT("R9.Web!D"&amp;SUM(18,38*8,19))),"",INDIRECT("R9.Web!D"&amp;SUM(18,38*8,19))))</f>
        <v>N/D</v>
      </c>
      <c r="AS38" s="215" t="str" cm="1">
        <f t="array" aca="1" ref="AS38" ca="1">IF($B38="","",IF(ISBLANK(INDIRECT("R9.Web!D"&amp;SUM(18,38*9,19))),"",INDIRECT("R9.Web!D"&amp;SUM(18,38*9,19))))</f>
        <v>N/D</v>
      </c>
      <c r="AT38" s="215" t="str" cm="1">
        <f t="array" aca="1" ref="AT38" ca="1">IF($B38="","",IF(ISBLANK(INDIRECT("R9.Web!D"&amp;SUM(18,38*10,19))),"",INDIRECT("R9.Web!D"&amp;SUM(18,38*10,19))))</f>
        <v>N/T</v>
      </c>
      <c r="AU38" s="215" t="str" cm="1">
        <f t="array" aca="1" ref="AU38" ca="1">IF($B38="","",IF(ISBLANK(INDIRECT("R9.Web!D"&amp;SUM(18,38*11,19))),"",INDIRECT("R9.Web!D"&amp;SUM(18,38*11,19))))</f>
        <v>N/T</v>
      </c>
      <c r="AV38" s="215" t="str" cm="1">
        <f t="array" aca="1" ref="AV38" ca="1">IF($B38="","",IF(ISBLANK(INDIRECT("R9.Web!D"&amp;SUM(18,38*12,19))),"",INDIRECT("R9.Web!D"&amp;SUM(18,38*12,19))))</f>
        <v>N/D</v>
      </c>
      <c r="AW38" s="215" t="str" cm="1">
        <f t="array" aca="1" ref="AW38" ca="1">IF($B38="","",IF(ISBLANK(INDIRECT("R9.Web!D"&amp;SUM(18,38*13,19))),"",INDIRECT("R9.Web!D"&amp;SUM(18,38*13,19))))</f>
        <v>N/T</v>
      </c>
      <c r="AX38" s="215" t="str" cm="1">
        <f t="array" aca="1" ref="AX38" ca="1">IF($B38="","",IF(ISBLANK(INDIRECT("R9.Web!D"&amp;SUM(18,38*14,19))),"",INDIRECT("R9.Web!D"&amp;SUM(18,38*14,19))))</f>
        <v>N/T</v>
      </c>
      <c r="AY38" s="215" t="str" cm="1">
        <f t="array" aca="1" ref="AY38" ca="1">IF($B38="","",IF(ISBLANK(INDIRECT("R9.Web!D"&amp;SUM(18,38*15,19))),"",INDIRECT("R9.Web!D"&amp;SUM(18,38*15,19))))</f>
        <v>N/D</v>
      </c>
      <c r="AZ38" s="215" t="str" cm="1">
        <f t="array" aca="1" ref="AZ38" ca="1">IF($B38="","",IF(ISBLANK(INDIRECT("R9.Web!D"&amp;SUM(18,38*16,19))),"",INDIRECT("R9.Web!D"&amp;SUM(18,38*16,19))))</f>
        <v>N/T</v>
      </c>
      <c r="BA38" s="215" t="str" cm="1">
        <f t="array" aca="1" ref="BA38" ca="1">IF($B38="","",IF(ISBLANK(INDIRECT("R9.Web!D"&amp;SUM(18,38*17,19))),"",INDIRECT("R9.Web!D"&amp;SUM(18,38*17,19))))</f>
        <v>N/D</v>
      </c>
      <c r="BB38" s="215" t="str" cm="1">
        <f t="array" aca="1" ref="BB38" ca="1">IF($B38="","",IF(ISBLANK(INDIRECT("R9.Web!D"&amp;SUM(18,38*18,19))),"",INDIRECT("R9.Web!D"&amp;SUM(18,38*18,19))))</f>
        <v>N/T</v>
      </c>
      <c r="BC38" s="215" t="str" cm="1">
        <f t="array" aca="1" ref="BC38" ca="1">IF($B38="","",IF(ISBLANK(INDIRECT("R9.Web!D"&amp;SUM(18,38*19,19))),"",INDIRECT("R9.Web!D"&amp;SUM(18,38*19,19))))</f>
        <v>N/D</v>
      </c>
      <c r="BD38" s="215" t="str" cm="1">
        <f t="array" aca="1" ref="BD38" ca="1">IF($B38="","",IF(ISBLANK(INDIRECT("R9.Web!D"&amp;SUM(18,38*20,19))),"",INDIRECT("R9.Web!D"&amp;SUM(18,38*20,19))))</f>
        <v>N/T</v>
      </c>
      <c r="BE38" s="215" t="str" cm="1">
        <f t="array" aca="1" ref="BE38" ca="1">IF($B38="","",IF(ISBLANK(INDIRECT("R9.Web!D"&amp;SUM(18,38*21,19))),"",INDIRECT("R9.Web!D"&amp;SUM(18,38*21,19))))</f>
        <v>N/T</v>
      </c>
      <c r="BF38" s="215" t="str" cm="1">
        <f t="array" aca="1" ref="BF38" ca="1">IF($B38="","",IF(ISBLANK(INDIRECT("R9.Web!D"&amp;SUM(18,38*22,19))),"",INDIRECT("R9.Web!D"&amp;SUM(18,38*22,19))))</f>
        <v>N/D</v>
      </c>
      <c r="BG38" s="215" t="str" cm="1">
        <f t="array" aca="1" ref="BG38" ca="1">IF($B38="","",IF(ISBLANK(INDIRECT("R9.Web!D"&amp;SUM(18,38*23,19))),"",INDIRECT("R9.Web!D"&amp;SUM(18,38*23,19))))</f>
        <v>N/D</v>
      </c>
      <c r="BH38" s="215" t="str" cm="1">
        <f t="array" aca="1" ref="BH38" ca="1">IF($B38="","",IF(ISBLANK(INDIRECT("R9.Web!D"&amp;SUM(18,38*24,19))),"",INDIRECT("R9.Web!D"&amp;SUM(18,38*24,19))))</f>
        <v>N/T</v>
      </c>
      <c r="BI38" s="215" t="str" cm="1">
        <f t="array" aca="1" ref="BI38" ca="1">IF($B38="","",IF(ISBLANK(INDIRECT("R9.Web!D"&amp;SUM(18,38*25,19))),"",INDIRECT("R9.Web!D"&amp;SUM(18,38*25,19))))</f>
        <v>N/D</v>
      </c>
      <c r="BJ38" s="215" t="str" cm="1">
        <f t="array" aca="1" ref="BJ38" ca="1">IF($B38="","",IF(ISBLANK(INDIRECT("R9.Web!D"&amp;SUM(18,38*26,19))),"",INDIRECT("R9.Web!D"&amp;SUM(18,38*26,19))))</f>
        <v>N/D</v>
      </c>
      <c r="BK38" s="215" t="str" cm="1">
        <f t="array" aca="1" ref="BK38" ca="1">IF($B38="","",IF(ISBLANK(INDIRECT("R9.Web!D"&amp;SUM(18,38*27,19))),"",INDIRECT("R9.Web!D"&amp;SUM(18,38*27,19))))</f>
        <v>N/D</v>
      </c>
      <c r="BL38" s="215" t="str" cm="1">
        <f t="array" aca="1" ref="BL38" ca="1">IF($B38="","",IF(ISBLANK(INDIRECT("R9.Web!D"&amp;SUM(18,38*28,19))),"",INDIRECT("R9.Web!D"&amp;SUM(18,38*28,19))))</f>
        <v>N/D</v>
      </c>
      <c r="BM38" s="215" t="str" cm="1">
        <f t="array" aca="1" ref="BM38" ca="1">IF($B38="","",IF(ISBLANK(INDIRECT("R9.Web!D"&amp;SUM(18,38*29,19))),"",INDIRECT("R9.Web!D"&amp;SUM(18,38*29,19))))</f>
        <v>N/D</v>
      </c>
      <c r="BN38" s="215" t="str" cm="1">
        <f t="array" aca="1" ref="BN38" ca="1">IF($B38="","",IF(ISBLANK(INDIRECT("R9.Web!D"&amp;SUM(18,38*30,19))),"",INDIRECT("R9.Web!D"&amp;SUM(18,38*30,19))))</f>
        <v>N/T</v>
      </c>
      <c r="BO38" s="215" t="str" cm="1">
        <f t="array" aca="1" ref="BO38" ca="1">IF($B38="","",IF(ISBLANK(INDIRECT("R9.Web!D"&amp;SUM(18,38*31,19))),"",INDIRECT("R9.Web!D"&amp;SUM(18,38*31,19))))</f>
        <v>N/D</v>
      </c>
      <c r="BP38" s="215" t="str" cm="1">
        <f t="array" aca="1" ref="BP38" ca="1">IF($B38="","",IF(ISBLANK(INDIRECT("R9.Web!D"&amp;SUM(18,38*32,19))),"",INDIRECT("R9.Web!D"&amp;SUM(18,38*32,19))))</f>
        <v>N/T</v>
      </c>
      <c r="BQ38" s="215" t="str" cm="1">
        <f t="array" aca="1" ref="BQ38" ca="1">IF($B38="","",IF(ISBLANK(INDIRECT("R9.Web!D"&amp;SUM(18,38*33,19))),"",INDIRECT("R9.Web!D"&amp;SUM(18,38*33,19))))</f>
        <v>N/T</v>
      </c>
      <c r="BR38" s="215" t="str" cm="1">
        <f t="array" aca="1" ref="BR38" ca="1">IF($B38="","",IF(ISBLANK(INDIRECT("R9.Web!D"&amp;SUM(18,38*34,19))),"",INDIRECT("R9.Web!D"&amp;SUM(18,38*34,19))))</f>
        <v>N/D</v>
      </c>
      <c r="BS38" s="215" t="str" cm="1">
        <f t="array" aca="1" ref="BS38" ca="1">IF($B38="","",IF(ISBLANK(INDIRECT("R9.Web!D"&amp;SUM(18,38*35,19))),"",INDIRECT("R9.Web!D"&amp;SUM(18,38*35,19))))</f>
        <v>N/T</v>
      </c>
      <c r="BT38" s="215" t="str" cm="1">
        <f t="array" aca="1" ref="BT38" ca="1">IF($B38="","",IF(ISBLANK(INDIRECT("R9.Web!D"&amp;SUM(18,38*36,19))),"",INDIRECT("R9.Web!D"&amp;SUM(18,38*36,19))))</f>
        <v>N/D</v>
      </c>
      <c r="BU38" s="215" t="str" cm="1">
        <f t="array" aca="1" ref="BU38" ca="1">IF($B38="","",IF(ISBLANK(INDIRECT("R9.Web!D"&amp;SUM(18,38*37,19))),"",INDIRECT("R9.Web!D"&amp;SUM(18,38*37,19))))</f>
        <v>N/D</v>
      </c>
      <c r="BV38" s="215" t="str" cm="1">
        <f t="array" aca="1" ref="BV38" ca="1">IF($B38="","",IF(ISBLANK(INDIRECT("R9.Web!D"&amp;SUM(18,38*38,19))),"",INDIRECT("R9.Web!D"&amp;SUM(18,38*38,19))))</f>
        <v>N/D</v>
      </c>
      <c r="BW38" s="215" t="str" cm="1">
        <f t="array" aca="1" ref="BW38" ca="1">IF($B38="","",IF(ISBLANK(INDIRECT("R9.Web!D"&amp;SUM(18,38*39,19))),"",INDIRECT("R9.Web!D"&amp;SUM(18,38*39,19))))</f>
        <v>N/D</v>
      </c>
      <c r="BX38" s="215" t="str" cm="1">
        <f t="array" aca="1" ref="BX38" ca="1">IF($B38="","",IF(ISBLANK(INDIRECT("R9.Web!D"&amp;SUM(18,38*40,19))),"",INDIRECT("R9.Web!D"&amp;SUM(18,38*40,19))))</f>
        <v>N/D</v>
      </c>
      <c r="BY38" s="215" t="str" cm="1">
        <f t="array" aca="1" ref="BY38" ca="1">IF($B38="","",IF(ISBLANK(INDIRECT("R9.Web!D"&amp;SUM(18,38*41,19))),"",INDIRECT("R9.Web!D"&amp;SUM(18,38*41,19))))</f>
        <v>N/T</v>
      </c>
      <c r="BZ38" s="215" t="str" cm="1">
        <f t="array" aca="1" ref="BZ38" ca="1">IF($B38="","",IF(ISBLANK(INDIRECT("R9.Web!D"&amp;SUM(18,38*42,19))),"",INDIRECT("R9.Web!D"&amp;SUM(18,38*42,19))))</f>
        <v>N/T</v>
      </c>
      <c r="CA38" s="215" t="str" cm="1">
        <f t="array" aca="1" ref="CA38" ca="1">IF($B38="","",IF(ISBLANK(INDIRECT("R9.Web!D"&amp;SUM(18,38*43,19))),"",INDIRECT("R9.Web!D"&amp;SUM(18,38*43,19))))</f>
        <v>N/D</v>
      </c>
      <c r="CB38" s="215" t="str" cm="1">
        <f t="array" aca="1" ref="CB38" ca="1">IF($B38="","",IF(ISBLANK(INDIRECT("R9.Web!D"&amp;SUM(18,38*44,19))),"",INDIRECT("R9.Web!D"&amp;SUM(18,38*44,19))))</f>
        <v>N/T</v>
      </c>
      <c r="CC38" s="215" t="str" cm="1">
        <f t="array" aca="1" ref="CC38" ca="1">IF($B38="","",IF(ISBLANK(INDIRECT("R9.Web!D"&amp;SUM(18,38*45,19))),"",INDIRECT("R9.Web!D"&amp;SUM(18,38*45,19))))</f>
        <v>N/T</v>
      </c>
      <c r="CD38" s="215" t="str" cm="1">
        <f t="array" aca="1" ref="CD38" ca="1">IF($B38="","",IF(ISBLANK(INDIRECT("R9.Web!D"&amp;SUM(18,38*46,19))),"",INDIRECT("R9.Web!D"&amp;SUM(18,38*46,19))))</f>
        <v>N/T</v>
      </c>
      <c r="CE38" s="215" t="str" cm="1">
        <f t="array" aca="1" ref="CE38" ca="1">IF($B38="","",IF(ISBLANK(INDIRECT("R9.Web!D"&amp;SUM(18,38*47,19))),"",INDIRECT("R9.Web!D"&amp;SUM(18,38*47,19))))</f>
        <v>N/D</v>
      </c>
      <c r="CF38" s="215" t="str" cm="1">
        <f t="array" aca="1" ref="CF38" ca="1">IF($B38="","",IF(ISBLANK(INDIRECT("R9.Web!D"&amp;SUM(18,38*48,19))),"",INDIRECT("R9.Web!D"&amp;SUM(18,38*48,19))))</f>
        <v>N/T</v>
      </c>
      <c r="CG38" s="215" t="str" cm="1">
        <f t="array" aca="1" ref="CG38" ca="1">IF($B38="","",IF(ISBLANK(INDIRECT("R9.Web!D"&amp;SUM(18,38*49,19))),"",INDIRECT("R9.Web!D"&amp;SUM(18,38*49,19))))</f>
        <v>N/T</v>
      </c>
      <c r="CH38" s="215" t="str" cm="1">
        <f t="array" aca="1" ref="CH38" ca="1">IF($B38="","",IF(ISBLANK(INDIRECT("R11.Software!D"&amp;SUM(18,38*0,19))),"",INDIRECT("R11.Software!D"&amp;SUM(18,38*0,19))))</f>
        <v>N/T</v>
      </c>
      <c r="CI38" s="215" t="str" cm="1">
        <f t="array" aca="1" ref="CI38" ca="1">IF($B38="","",IF(ISBLANK(INDIRECT("R11.Software!D"&amp;SUM(18,38*1,19))),"",INDIRECT("R11.Software!D"&amp;SUM(18,38*1,19))))</f>
        <v>N/T</v>
      </c>
      <c r="CJ38" s="215" t="str" cm="1">
        <f t="array" aca="1" ref="CJ38" ca="1">IF($B38="","",IF(ISBLANK(INDIRECT("R11.Software!D"&amp;SUM(18,38*2,19))),"",INDIRECT("R11.Software!D"&amp;SUM(18,38*2,19))))</f>
        <v>N/T</v>
      </c>
      <c r="CK38" s="215" t="str" cm="1">
        <f t="array" aca="1" ref="CK38" ca="1">IF($B38="","",IF(ISBLANK(INDIRECT("R11.Software!D"&amp;SUM(18,38*3,19))),"",INDIRECT("R11.Software!D"&amp;SUM(18,38*3,19))))</f>
        <v>N/T</v>
      </c>
      <c r="CL38" s="215" t="str" cm="1">
        <f t="array" aca="1" ref="CL38" ca="1">IF($B38="","",IF(ISBLANK(INDIRECT("R11.Software!D"&amp;SUM(18,38*4,19))),"",INDIRECT("R11.Software!D"&amp;SUM(18,38*4,19))))</f>
        <v>N/T</v>
      </c>
      <c r="CM38" s="215" t="str" cm="1">
        <f t="array" aca="1" ref="CM38" ca="1">IF($B38="","",IF(ISBLANK(INDIRECT("R11.Software!D"&amp;SUM(18,38*5,19))),"",INDIRECT("R11.Software!D"&amp;SUM(18,38*5,19))))</f>
        <v>N/T</v>
      </c>
      <c r="CN38" s="215" t="str" cm="1">
        <f t="array" aca="1" ref="CN38" ca="1">IF($B38="","",IF(ISBLANK(INDIRECT("R12.ServiciosApoyo!D"&amp;SUM(18,38*0,19))),"",INDIRECT("R12.ServiciosApoyo!D"&amp;SUM(18,38*0,19))))</f>
        <v>N/T</v>
      </c>
      <c r="CO38" s="215" t="str" cm="1">
        <f t="array" aca="1" ref="CO38" ca="1">IF($B38="","",IF(ISBLANK(INDIRECT("R12.ServiciosApoyo!D"&amp;SUM(18,38*1,19))),"",INDIRECT("R12.ServiciosApoyo!D"&amp;SUM(18,38*1,19))))</f>
        <v>N/T</v>
      </c>
      <c r="CP38" s="215" t="str" cm="1">
        <f t="array" aca="1" ref="CP38" ca="1">IF($B38="","",IF(ISBLANK(INDIRECT("R12.ServiciosApoyo!D"&amp;SUM(18,38*2,19))),"",INDIRECT("R12.ServiciosApoyo!D"&amp;SUM(18,38*2,19))))</f>
        <v>N/T</v>
      </c>
      <c r="CQ38" s="215" t="str" cm="1">
        <f t="array" aca="1" ref="CQ38" ca="1">IF($B38="","",IF(ISBLANK(INDIRECT("R12.ServiciosApoyo!D"&amp;SUM(18,38*3,19))),"",INDIRECT("R12.ServiciosApoyo!D"&amp;SUM(18,38*3,19))))</f>
        <v>N/T</v>
      </c>
      <c r="CR38" s="215" t="str" cm="1">
        <f t="array" aca="1" ref="CR38" ca="1">IF($B38="","",IF(ISBLANK(INDIRECT("R12.ServiciosApoyo!D"&amp;SUM(18,38*4,19))),"",INDIRECT("R12.ServiciosApoyo!D"&amp;SUM(18,38*4,19))))</f>
        <v>N/T</v>
      </c>
      <c r="CU38" s="100"/>
      <c r="CV38" s="29"/>
      <c r="CW38" s="29"/>
      <c r="CX38" s="29"/>
    </row>
    <row r="39" spans="2:102" ht="20.25">
      <c r="B39" s="181" t="n" cm="1">
        <f t="array" ref="B39">IFERROR(INDEX('03.Muestra'!$B$8:$B$42,SMALL(IF("Página Web"='03.Muestra'!$D$8:$D$42,ROW('03.Muestra'!$B$8:$B$42)-MIN(ROW('03.Muestra'!$D$8:$D$42))+1,""),ROW()-19)),"")</f>
        <v>1.0</v>
      </c>
      <c r="C39" s="97" t="str" cm="1">
        <f t="array" ref="C39">IFERROR(INDEX('03.Muestra'!$C$8:$C$42,SMALL(IF("Página Web"='03.Muestra'!$D$8:$D$42,ROW('03.Muestra'!$C$8:$C$42)-MIN(ROW('03.Muestra'!$D$8:$D$42))+1,""),ROW()-19)),"")</f>
        <v>Home - PortCastelló</v>
      </c>
      <c r="D39" s="98" t="str" cm="1">
        <f t="array" ref="D39">IFERROR(INDEX('03.Muestra'!$F$8:$F$42,SMALL(IF("Página Web"='03.Muestra'!$D$8:$D$42,ROW('03.Muestra'!$F$8:$F$42)-MIN(ROW('03.Muestra'!$D$8:$D$42))+1,""),ROW()-19)),"")</f>
        <v>https://www.portcastello.com/</v>
      </c>
      <c r="E39" s="215" t="str" cm="1">
        <f t="array" aca="1" ref="E39" ca="1">IF($B39="","",IF(ISBLANK(INDIRECT("R5.Genéricos!D"&amp;SUM(18,38*0,20))),"",INDIRECT("R5.Genéricos!D"&amp;SUM(18,38*0,20))))</f>
        <v>N/T</v>
      </c>
      <c r="F39" s="215" t="str" cm="1">
        <f t="array" aca="1" ref="F39" ca="1">IF($B39="","",IF(ISBLANK(INDIRECT("R5.Genéricos!D"&amp;SUM(18,38*1,20))),"",INDIRECT("R5.Genéricos!D"&amp;SUM(18,38*1,20))))</f>
        <v>N/T</v>
      </c>
      <c r="G39" s="215" t="str" cm="1">
        <f t="array" aca="1" ref="G39" ca="1">IF($B39="","",IF(ISBLANK(INDIRECT("R5.Genéricos!D"&amp;SUM(18,38*2,20))),"",INDIRECT("R5.Genéricos!D"&amp;SUM(18,38*2,20))))</f>
        <v>N/T</v>
      </c>
      <c r="H39" s="215" t="str" cm="1">
        <f t="array" aca="1" ref="H39" ca="1">IF($B39="","",IF(ISBLANK(INDIRECT("R6.Voz!D"&amp;SUM(18,38*0,20))),"",INDIRECT("R6.Voz!D"&amp;SUM(18,38*0,20))))</f>
        <v>N/T</v>
      </c>
      <c r="I39" s="215" t="str" cm="1">
        <f t="array" aca="1" ref="I39" ca="1">IF($B39="","",IF(ISBLANK(INDIRECT("R6.Voz!D"&amp;SUM(18,38*1,20))),"",INDIRECT("R6.Voz!D"&amp;SUM(18,38*1,20))))</f>
        <v>N/T</v>
      </c>
      <c r="J39" s="215" t="str" cm="1">
        <f t="array" aca="1" ref="J39" ca="1">IF($B39="","",IF(ISBLANK(INDIRECT("R6.Voz!D"&amp;SUM(18,38*2,20))),"",INDIRECT("R6.Voz!D"&amp;SUM(18,38*2,20))))</f>
        <v>N/T</v>
      </c>
      <c r="K39" s="215" t="str" cm="1">
        <f t="array" aca="1" ref="K39" ca="1">IF($B39="","",IF(ISBLANK(INDIRECT("R6.Voz!D"&amp;SUM(18,38*3,20))),"",INDIRECT("R6.Voz!D"&amp;SUM(18,38*3,20))))</f>
        <v>N/T</v>
      </c>
      <c r="L39" s="215" t="str" cm="1">
        <f t="array" aca="1" ref="L39" ca="1">IF($B39="","",IF(ISBLANK(INDIRECT("R6.Voz!D"&amp;SUM(18,38*4,20))),"",INDIRECT("R6.Voz!D"&amp;SUM(18,38*4,20))))</f>
        <v>N/T</v>
      </c>
      <c r="M39" s="215" t="str" cm="1">
        <f t="array" aca="1" ref="M39" ca="1">IF($B39="","",IF(ISBLANK(INDIRECT("R6.Voz!D"&amp;SUM(18,38*5,20))),"",INDIRECT("R6.Voz!D"&amp;SUM(18,38*5,20))))</f>
        <v>N/T</v>
      </c>
      <c r="N39" s="215" t="str" cm="1">
        <f t="array" aca="1" ref="N39" ca="1">IF($B39="","",IF(ISBLANK(INDIRECT("R6.Voz!D"&amp;SUM(18,38*6,20))),"",INDIRECT("R6.Voz!D"&amp;SUM(18,38*6,20))))</f>
        <v>N/T</v>
      </c>
      <c r="O39" s="215" t="str" cm="1">
        <f t="array" aca="1" ref="O39" ca="1">IF($B39="","",IF(ISBLANK(INDIRECT("R6.Voz!D"&amp;SUM(18,38*7,20))),"",INDIRECT("R6.Voz!D"&amp;SUM(18,38*7,20))))</f>
        <v>N/T</v>
      </c>
      <c r="P39" s="215" t="str" cm="1">
        <f t="array" aca="1" ref="P39" ca="1">IF($B39="","",IF(ISBLANK(INDIRECT("R6.Voz!D"&amp;SUM(18,38*8,20))),"",INDIRECT("R6.Voz!D"&amp;SUM(18,38*8,20))))</f>
        <v>N/T</v>
      </c>
      <c r="Q39" s="215" t="str" cm="1">
        <f t="array" aca="1" ref="Q39" ca="1">IF($B39="","",IF(ISBLANK(INDIRECT("R6.Voz!D"&amp;SUM(18,38*9,20))),"",INDIRECT("R6.Voz!D"&amp;SUM(18,38*9,20))))</f>
        <v>N/T</v>
      </c>
      <c r="R39" s="215" t="str" cm="1">
        <f t="array" aca="1" ref="R39" ca="1">IF($B39="","",IF(ISBLANK(INDIRECT("R6.Voz!D"&amp;SUM(18,38*10,20))),"",INDIRECT("R6.Voz!D"&amp;SUM(18,38*10,20))))</f>
        <v>N/T</v>
      </c>
      <c r="S39" s="215" t="str" cm="1">
        <f t="array" aca="1" ref="S39" ca="1">IF($B39="","",IF(ISBLANK(INDIRECT("R6.Voz!D"&amp;SUM(18,38*11,20))),"",INDIRECT("R6.Voz!D"&amp;SUM(18,38*11,20))))</f>
        <v>N/T</v>
      </c>
      <c r="T39" s="215" t="str" cm="1">
        <f t="array" aca="1" ref="T39" ca="1">IF($B39="","",IF(ISBLANK(INDIRECT("R6.Voz!D"&amp;SUM(18,38*12,20))),"",INDIRECT("R6.Voz!D"&amp;SUM(18,38*12,20))))</f>
        <v>N/T</v>
      </c>
      <c r="U39" s="215" t="str" cm="1">
        <f t="array" aca="1" ref="U39" ca="1">IF($B39="","",IF(ISBLANK(INDIRECT("R6.Voz!D"&amp;SUM(18,38*13,20))),"",INDIRECT("R6.Voz!D"&amp;SUM(18,38*13,20))))</f>
        <v>N/T</v>
      </c>
      <c r="V39" s="215" t="str" cm="1">
        <f t="array" aca="1" ref="V39" ca="1">IF($B39="","",IF(ISBLANK(INDIRECT("R6.Voz!D"&amp;SUM(18,38*14,20))),"",INDIRECT("R6.Voz!D"&amp;SUM(18,38*14,20))))</f>
        <v>N/T</v>
      </c>
      <c r="W39" s="215" t="str" cm="1">
        <f t="array" aca="1" ref="W39" ca="1">IF($B39="","",IF(ISBLANK(INDIRECT("R6.Voz!D"&amp;SUM(18,38*15,20))),"",INDIRECT("R6.Voz!D"&amp;SUM(18,38*15,20))))</f>
        <v>N/T</v>
      </c>
      <c r="X39" s="215" t="str" cm="1">
        <f t="array" aca="1" ref="X39" ca="1">IF($B39="","",IF(ISBLANK(INDIRECT("R6.Voz!D"&amp;SUM(18,38*16,20))),"",INDIRECT("R6.Voz!D"&amp;SUM(18,38*16,20))))</f>
        <v>N/T</v>
      </c>
      <c r="Y39" s="215" t="str" cm="1">
        <f t="array" aca="1" ref="Y39" ca="1">IF($B39="","",IF(ISBLANK(INDIRECT("R6.Voz!D"&amp;SUM(18,38*17,20))),"",INDIRECT("R6.Voz!D"&amp;SUM(18,38*17,20))))</f>
        <v>N/T</v>
      </c>
      <c r="Z39" s="215" t="str" cm="1">
        <f t="array" aca="1" ref="Z39" ca="1">IF($B39="","",IF(ISBLANK(INDIRECT("R6.Voz!D"&amp;SUM(18,38*18,20))),"",INDIRECT("R6.Voz!D"&amp;SUM(18,38*18,20))))</f>
        <v>N/T</v>
      </c>
      <c r="AA39" s="215" t="str" cm="1">
        <f t="array" aca="1" ref="AA39" ca="1">IF($B39="","",IF(ISBLANK(INDIRECT("R7.Video!D"&amp;SUM(18,38*0,20))),"",INDIRECT("R7.Video!D"&amp;SUM(18,38*0,20))))</f>
        <v>N/T</v>
      </c>
      <c r="AB39" s="215" t="str" cm="1">
        <f t="array" aca="1" ref="AB39" ca="1">IF($B39="","",IF(ISBLANK(INDIRECT("R7.Video!D"&amp;SUM(18,38*1,20))),"",INDIRECT("R7.Video!D"&amp;SUM(18,38*1,20))))</f>
        <v>N/T</v>
      </c>
      <c r="AC39" s="215" t="str" cm="1">
        <f t="array" aca="1" ref="AC39" ca="1">IF($B39="","",IF(ISBLANK(INDIRECT("R7.Video!D"&amp;SUM(18,38*2,20))),"",INDIRECT("R7.Video!D"&amp;SUM(18,38*2,20))))</f>
        <v>N/T</v>
      </c>
      <c r="AD39" s="215" t="str" cm="1">
        <f t="array" aca="1" ref="AD39" ca="1">IF($B39="","",IF(ISBLANK(INDIRECT("R7.Video!D"&amp;SUM(18,38*3,20))),"",INDIRECT("R7.Video!D"&amp;SUM(18,38*3,20))))</f>
        <v>N/T</v>
      </c>
      <c r="AE39" s="215" t="str" cm="1">
        <f t="array" aca="1" ref="AE39" ca="1">IF($B39="","",IF(ISBLANK(INDIRECT("R7.Video!D"&amp;SUM(18,38*4,20))),"",INDIRECT("R7.Video!D"&amp;SUM(18,38*4,20))))</f>
        <v>N/T</v>
      </c>
      <c r="AF39" s="215" t="str" cm="1">
        <f t="array" aca="1" ref="AF39" ca="1">IF($B39="","",IF(ISBLANK(INDIRECT("R7.Video!D"&amp;SUM(18,38*5,20))),"",INDIRECT("R7.Video!D"&amp;SUM(18,38*5,20))))</f>
        <v>N/T</v>
      </c>
      <c r="AG39" s="215" t="str" cm="1">
        <f t="array" aca="1" ref="AG39" ca="1">IF($B39="","",IF(ISBLANK(INDIRECT("R7.Video!D"&amp;SUM(18,38*6,20))),"",INDIRECT("R7.Video!D"&amp;SUM(18,38*6,20))))</f>
        <v>N/T</v>
      </c>
      <c r="AH39" s="215" t="str" cm="1">
        <f t="array" aca="1" ref="AH39" ca="1">IF($B39="","",IF(ISBLANK(INDIRECT("R7.Video!D"&amp;SUM(18,38*7,20))),"",INDIRECT("R7.Video!D"&amp;SUM(18,38*7,20))))</f>
        <v>N/T</v>
      </c>
      <c r="AI39" s="215" t="str" cm="1">
        <f t="array" aca="1" ref="AI39" ca="1">IF($B39="","",IF(ISBLANK(INDIRECT("R7.Video!D"&amp;SUM(18,38*8,20))),"",INDIRECT("R7.Video!D"&amp;SUM(18,38*8,20))))</f>
        <v>N/T</v>
      </c>
      <c r="AJ39" s="215" t="str" cm="1">
        <f t="array" aca="1" ref="AJ39" ca="1">IF($B39="","",IF(ISBLANK(INDIRECT("R9.Web!D"&amp;SUM(18,38*0,20))),"",INDIRECT("R9.Web!D"&amp;SUM(18,38*0,20))))</f>
        <v>N/D</v>
      </c>
      <c r="AK39" s="215" t="str" cm="1">
        <f t="array" aca="1" ref="AK39" ca="1">IF($B39="","",IF(ISBLANK(INDIRECT("R9.Web!D"&amp;SUM(18,38*1,20))),"",INDIRECT("R9.Web!D"&amp;SUM(18,38*1,20))))</f>
        <v>N/T</v>
      </c>
      <c r="AL39" s="215" t="str" cm="1">
        <f t="array" aca="1" ref="AL39" ca="1">IF($B39="","",IF(ISBLANK(INDIRECT("R9.Web!D"&amp;SUM(18,38*2,20))),"",INDIRECT("R9.Web!D"&amp;SUM(18,38*2,20))))</f>
        <v>N/T</v>
      </c>
      <c r="AM39" s="215" t="str" cm="1">
        <f t="array" aca="1" ref="AM39" ca="1">IF($B39="","",IF(ISBLANK(INDIRECT("R9.Web!D"&amp;SUM(18,38*3,20))),"",INDIRECT("R9.Web!D"&amp;SUM(18,38*3,20))))</f>
        <v>N/T</v>
      </c>
      <c r="AN39" s="215" t="str" cm="1">
        <f t="array" aca="1" ref="AN39" ca="1">IF($B39="","",IF(ISBLANK(INDIRECT("R9.Web!D"&amp;SUM(18,38*4,20))),"",INDIRECT("R9.Web!D"&amp;SUM(18,38*4,20))))</f>
        <v>N/T</v>
      </c>
      <c r="AO39" s="215" t="str" cm="1">
        <f t="array" aca="1" ref="AO39" ca="1">IF($B39="","",IF(ISBLANK(INDIRECT("R9.Web!D"&amp;SUM(18,38*5,20))),"",INDIRECT("R9.Web!D"&amp;SUM(18,38*5,20))))</f>
        <v>N/D</v>
      </c>
      <c r="AP39" s="215" t="str" cm="1">
        <f t="array" aca="1" ref="AP39" ca="1">IF($B39="","",IF(ISBLANK(INDIRECT("R9.Web!D"&amp;SUM(18,38*6,20))),"",INDIRECT("R9.Web!D"&amp;SUM(18,38*6,20))))</f>
        <v>N/T</v>
      </c>
      <c r="AQ39" s="215" t="str" cm="1">
        <f t="array" aca="1" ref="AQ39" ca="1">IF($B39="","",IF(ISBLANK(INDIRECT("R9.Web!D"&amp;SUM(18,38*7,20))),"",INDIRECT("R9.Web!D"&amp;SUM(18,38*7,20))))</f>
        <v>N/T</v>
      </c>
      <c r="AR39" s="215" t="str" cm="1">
        <f t="array" aca="1" ref="AR39" ca="1">IF($B39="","",IF(ISBLANK(INDIRECT("R9.Web!D"&amp;SUM(18,38*8,20))),"",INDIRECT("R9.Web!D"&amp;SUM(18,38*8,20))))</f>
        <v>N/D</v>
      </c>
      <c r="AS39" s="215" t="str" cm="1">
        <f t="array" aca="1" ref="AS39" ca="1">IF($B39="","",IF(ISBLANK(INDIRECT("R9.Web!D"&amp;SUM(18,38*9,20))),"",INDIRECT("R9.Web!D"&amp;SUM(18,38*9,20))))</f>
        <v>N/D</v>
      </c>
      <c r="AT39" s="215" t="str" cm="1">
        <f t="array" aca="1" ref="AT39" ca="1">IF($B39="","",IF(ISBLANK(INDIRECT("R9.Web!D"&amp;SUM(18,38*10,20))),"",INDIRECT("R9.Web!D"&amp;SUM(18,38*10,20))))</f>
        <v>N/T</v>
      </c>
      <c r="AU39" s="215" t="str" cm="1">
        <f t="array" aca="1" ref="AU39" ca="1">IF($B39="","",IF(ISBLANK(INDIRECT("R9.Web!D"&amp;SUM(18,38*11,20))),"",INDIRECT("R9.Web!D"&amp;SUM(18,38*11,20))))</f>
        <v>N/T</v>
      </c>
      <c r="AV39" s="215" t="str" cm="1">
        <f t="array" aca="1" ref="AV39" ca="1">IF($B39="","",IF(ISBLANK(INDIRECT("R9.Web!D"&amp;SUM(18,38*12,20))),"",INDIRECT("R9.Web!D"&amp;SUM(18,38*12,20))))</f>
        <v>N/D</v>
      </c>
      <c r="AW39" s="215" t="str" cm="1">
        <f t="array" aca="1" ref="AW39" ca="1">IF($B39="","",IF(ISBLANK(INDIRECT("R9.Web!D"&amp;SUM(18,38*13,20))),"",INDIRECT("R9.Web!D"&amp;SUM(18,38*13,20))))</f>
        <v>N/T</v>
      </c>
      <c r="AX39" s="215" t="str" cm="1">
        <f t="array" aca="1" ref="AX39" ca="1">IF($B39="","",IF(ISBLANK(INDIRECT("R9.Web!D"&amp;SUM(18,38*14,20))),"",INDIRECT("R9.Web!D"&amp;SUM(18,38*14,20))))</f>
        <v>N/T</v>
      </c>
      <c r="AY39" s="215" t="str" cm="1">
        <f t="array" aca="1" ref="AY39" ca="1">IF($B39="","",IF(ISBLANK(INDIRECT("R9.Web!D"&amp;SUM(18,38*15,20))),"",INDIRECT("R9.Web!D"&amp;SUM(18,38*15,20))))</f>
        <v>N/D</v>
      </c>
      <c r="AZ39" s="215" t="str" cm="1">
        <f t="array" aca="1" ref="AZ39" ca="1">IF($B39="","",IF(ISBLANK(INDIRECT("R9.Web!D"&amp;SUM(18,38*16,20))),"",INDIRECT("R9.Web!D"&amp;SUM(18,38*16,20))))</f>
        <v>N/T</v>
      </c>
      <c r="BA39" s="215" t="str" cm="1">
        <f t="array" aca="1" ref="BA39" ca="1">IF($B39="","",IF(ISBLANK(INDIRECT("R9.Web!D"&amp;SUM(18,38*17,20))),"",INDIRECT("R9.Web!D"&amp;SUM(18,38*17,20))))</f>
        <v>N/D</v>
      </c>
      <c r="BB39" s="215" t="str" cm="1">
        <f t="array" aca="1" ref="BB39" ca="1">IF($B39="","",IF(ISBLANK(INDIRECT("R9.Web!D"&amp;SUM(18,38*18,20))),"",INDIRECT("R9.Web!D"&amp;SUM(18,38*18,20))))</f>
        <v>N/T</v>
      </c>
      <c r="BC39" s="215" t="str" cm="1">
        <f t="array" aca="1" ref="BC39" ca="1">IF($B39="","",IF(ISBLANK(INDIRECT("R9.Web!D"&amp;SUM(18,38*19,20))),"",INDIRECT("R9.Web!D"&amp;SUM(18,38*19,20))))</f>
        <v>N/D</v>
      </c>
      <c r="BD39" s="215" t="str" cm="1">
        <f t="array" aca="1" ref="BD39" ca="1">IF($B39="","",IF(ISBLANK(INDIRECT("R9.Web!D"&amp;SUM(18,38*20,20))),"",INDIRECT("R9.Web!D"&amp;SUM(18,38*20,20))))</f>
        <v>N/T</v>
      </c>
      <c r="BE39" s="215" t="str" cm="1">
        <f t="array" aca="1" ref="BE39" ca="1">IF($B39="","",IF(ISBLANK(INDIRECT("R9.Web!D"&amp;SUM(18,38*21,20))),"",INDIRECT("R9.Web!D"&amp;SUM(18,38*21,20))))</f>
        <v>N/T</v>
      </c>
      <c r="BF39" s="215" t="str" cm="1">
        <f t="array" aca="1" ref="BF39" ca="1">IF($B39="","",IF(ISBLANK(INDIRECT("R9.Web!D"&amp;SUM(18,38*22,20))),"",INDIRECT("R9.Web!D"&amp;SUM(18,38*22,20))))</f>
        <v>N/D</v>
      </c>
      <c r="BG39" s="215" t="str" cm="1">
        <f t="array" aca="1" ref="BG39" ca="1">IF($B39="","",IF(ISBLANK(INDIRECT("R9.Web!D"&amp;SUM(18,38*23,20))),"",INDIRECT("R9.Web!D"&amp;SUM(18,38*23,20))))</f>
        <v>N/D</v>
      </c>
      <c r="BH39" s="215" t="str" cm="1">
        <f t="array" aca="1" ref="BH39" ca="1">IF($B39="","",IF(ISBLANK(INDIRECT("R9.Web!D"&amp;SUM(18,38*24,20))),"",INDIRECT("R9.Web!D"&amp;SUM(18,38*24,20))))</f>
        <v>N/T</v>
      </c>
      <c r="BI39" s="215" t="str" cm="1">
        <f t="array" aca="1" ref="BI39" ca="1">IF($B39="","",IF(ISBLANK(INDIRECT("R9.Web!D"&amp;SUM(18,38*25,20))),"",INDIRECT("R9.Web!D"&amp;SUM(18,38*25,20))))</f>
        <v>N/D</v>
      </c>
      <c r="BJ39" s="215" t="str" cm="1">
        <f t="array" aca="1" ref="BJ39" ca="1">IF($B39="","",IF(ISBLANK(INDIRECT("R9.Web!D"&amp;SUM(18,38*26,20))),"",INDIRECT("R9.Web!D"&amp;SUM(18,38*26,20))))</f>
        <v>N/D</v>
      </c>
      <c r="BK39" s="215" t="str" cm="1">
        <f t="array" aca="1" ref="BK39" ca="1">IF($B39="","",IF(ISBLANK(INDIRECT("R9.Web!D"&amp;SUM(18,38*27,20))),"",INDIRECT("R9.Web!D"&amp;SUM(18,38*27,20))))</f>
        <v>N/D</v>
      </c>
      <c r="BL39" s="215" t="str" cm="1">
        <f t="array" aca="1" ref="BL39" ca="1">IF($B39="","",IF(ISBLANK(INDIRECT("R9.Web!D"&amp;SUM(18,38*28,20))),"",INDIRECT("R9.Web!D"&amp;SUM(18,38*28,20))))</f>
        <v>N/D</v>
      </c>
      <c r="BM39" s="215" t="str" cm="1">
        <f t="array" aca="1" ref="BM39" ca="1">IF($B39="","",IF(ISBLANK(INDIRECT("R9.Web!D"&amp;SUM(18,38*29,20))),"",INDIRECT("R9.Web!D"&amp;SUM(18,38*29,20))))</f>
        <v>N/D</v>
      </c>
      <c r="BN39" s="215" t="str" cm="1">
        <f t="array" aca="1" ref="BN39" ca="1">IF($B39="","",IF(ISBLANK(INDIRECT("R9.Web!D"&amp;SUM(18,38*30,20))),"",INDIRECT("R9.Web!D"&amp;SUM(18,38*30,20))))</f>
        <v>N/T</v>
      </c>
      <c r="BO39" s="215" t="str" cm="1">
        <f t="array" aca="1" ref="BO39" ca="1">IF($B39="","",IF(ISBLANK(INDIRECT("R9.Web!D"&amp;SUM(18,38*31,20))),"",INDIRECT("R9.Web!D"&amp;SUM(18,38*31,20))))</f>
        <v>N/D</v>
      </c>
      <c r="BP39" s="215" t="str" cm="1">
        <f t="array" aca="1" ref="BP39" ca="1">IF($B39="","",IF(ISBLANK(INDIRECT("R9.Web!D"&amp;SUM(18,38*32,20))),"",INDIRECT("R9.Web!D"&amp;SUM(18,38*32,20))))</f>
        <v>N/T</v>
      </c>
      <c r="BQ39" s="215" t="str" cm="1">
        <f t="array" aca="1" ref="BQ39" ca="1">IF($B39="","",IF(ISBLANK(INDIRECT("R9.Web!D"&amp;SUM(18,38*33,20))),"",INDIRECT("R9.Web!D"&amp;SUM(18,38*33,20))))</f>
        <v>N/T</v>
      </c>
      <c r="BR39" s="215" t="str" cm="1">
        <f t="array" aca="1" ref="BR39" ca="1">IF($B39="","",IF(ISBLANK(INDIRECT("R9.Web!D"&amp;SUM(18,38*34,20))),"",INDIRECT("R9.Web!D"&amp;SUM(18,38*34,20))))</f>
        <v>N/D</v>
      </c>
      <c r="BS39" s="215" t="str" cm="1">
        <f t="array" aca="1" ref="BS39" ca="1">IF($B39="","",IF(ISBLANK(INDIRECT("R9.Web!D"&amp;SUM(18,38*35,20))),"",INDIRECT("R9.Web!D"&amp;SUM(18,38*35,20))))</f>
        <v>N/T</v>
      </c>
      <c r="BT39" s="215" t="str" cm="1">
        <f t="array" aca="1" ref="BT39" ca="1">IF($B39="","",IF(ISBLANK(INDIRECT("R9.Web!D"&amp;SUM(18,38*36,20))),"",INDIRECT("R9.Web!D"&amp;SUM(18,38*36,20))))</f>
        <v>N/D</v>
      </c>
      <c r="BU39" s="215" t="str" cm="1">
        <f t="array" aca="1" ref="BU39" ca="1">IF($B39="","",IF(ISBLANK(INDIRECT("R9.Web!D"&amp;SUM(18,38*37,20))),"",INDIRECT("R9.Web!D"&amp;SUM(18,38*37,20))))</f>
        <v>N/D</v>
      </c>
      <c r="BV39" s="215" t="str" cm="1">
        <f t="array" aca="1" ref="BV39" ca="1">IF($B39="","",IF(ISBLANK(INDIRECT("R9.Web!D"&amp;SUM(18,38*38,20))),"",INDIRECT("R9.Web!D"&amp;SUM(18,38*38,20))))</f>
        <v>N/D</v>
      </c>
      <c r="BW39" s="215" t="str" cm="1">
        <f t="array" aca="1" ref="BW39" ca="1">IF($B39="","",IF(ISBLANK(INDIRECT("R9.Web!D"&amp;SUM(18,38*39,20))),"",INDIRECT("R9.Web!D"&amp;SUM(18,38*39,20))))</f>
        <v>N/D</v>
      </c>
      <c r="BX39" s="215" t="str" cm="1">
        <f t="array" aca="1" ref="BX39" ca="1">IF($B39="","",IF(ISBLANK(INDIRECT("R9.Web!D"&amp;SUM(18,38*40,20))),"",INDIRECT("R9.Web!D"&amp;SUM(18,38*40,20))))</f>
        <v>N/D</v>
      </c>
      <c r="BY39" s="215" t="str" cm="1">
        <f t="array" aca="1" ref="BY39" ca="1">IF($B39="","",IF(ISBLANK(INDIRECT("R9.Web!D"&amp;SUM(18,38*41,20))),"",INDIRECT("R9.Web!D"&amp;SUM(18,38*41,20))))</f>
        <v>N/T</v>
      </c>
      <c r="BZ39" s="215" t="str" cm="1">
        <f t="array" aca="1" ref="BZ39" ca="1">IF($B39="","",IF(ISBLANK(INDIRECT("R9.Web!D"&amp;SUM(18,38*42,20))),"",INDIRECT("R9.Web!D"&amp;SUM(18,38*42,20))))</f>
        <v>N/T</v>
      </c>
      <c r="CA39" s="215" t="str" cm="1">
        <f t="array" aca="1" ref="CA39" ca="1">IF($B39="","",IF(ISBLANK(INDIRECT("R9.Web!D"&amp;SUM(18,38*43,20))),"",INDIRECT("R9.Web!D"&amp;SUM(18,38*43,20))))</f>
        <v>N/D</v>
      </c>
      <c r="CB39" s="215" t="str" cm="1">
        <f t="array" aca="1" ref="CB39" ca="1">IF($B39="","",IF(ISBLANK(INDIRECT("R9.Web!D"&amp;SUM(18,38*44,20))),"",INDIRECT("R9.Web!D"&amp;SUM(18,38*44,20))))</f>
        <v>N/T</v>
      </c>
      <c r="CC39" s="215" t="str" cm="1">
        <f t="array" aca="1" ref="CC39" ca="1">IF($B39="","",IF(ISBLANK(INDIRECT("R9.Web!D"&amp;SUM(18,38*45,20))),"",INDIRECT("R9.Web!D"&amp;SUM(18,38*45,20))))</f>
        <v>N/T</v>
      </c>
      <c r="CD39" s="215" t="str" cm="1">
        <f t="array" aca="1" ref="CD39" ca="1">IF($B39="","",IF(ISBLANK(INDIRECT("R9.Web!D"&amp;SUM(18,38*46,20))),"",INDIRECT("R9.Web!D"&amp;SUM(18,38*46,20))))</f>
        <v>N/T</v>
      </c>
      <c r="CE39" s="215" t="str" cm="1">
        <f t="array" aca="1" ref="CE39" ca="1">IF($B39="","",IF(ISBLANK(INDIRECT("R9.Web!D"&amp;SUM(18,38*47,20))),"",INDIRECT("R9.Web!D"&amp;SUM(18,38*47,20))))</f>
        <v>N/D</v>
      </c>
      <c r="CF39" s="215" t="str" cm="1">
        <f t="array" aca="1" ref="CF39" ca="1">IF($B39="","",IF(ISBLANK(INDIRECT("R9.Web!D"&amp;SUM(18,38*48,20))),"",INDIRECT("R9.Web!D"&amp;SUM(18,38*48,20))))</f>
        <v>N/T</v>
      </c>
      <c r="CG39" s="215" t="str" cm="1">
        <f t="array" aca="1" ref="CG39" ca="1">IF($B39="","",IF(ISBLANK(INDIRECT("R9.Web!D"&amp;SUM(18,38*49,20))),"",INDIRECT("R9.Web!D"&amp;SUM(18,38*49,20))))</f>
        <v>N/T</v>
      </c>
      <c r="CH39" s="215" t="str" cm="1">
        <f t="array" aca="1" ref="CH39" ca="1">IF($B39="","",IF(ISBLANK(INDIRECT("R11.Software!D"&amp;SUM(18,38*0,20))),"",INDIRECT("R11.Software!D"&amp;SUM(18,38*0,20))))</f>
        <v>N/T</v>
      </c>
      <c r="CI39" s="215" t="str" cm="1">
        <f t="array" aca="1" ref="CI39" ca="1">IF($B39="","",IF(ISBLANK(INDIRECT("R11.Software!D"&amp;SUM(18,38*1,20))),"",INDIRECT("R11.Software!D"&amp;SUM(18,38*1,20))))</f>
        <v>N/T</v>
      </c>
      <c r="CJ39" s="215" t="str" cm="1">
        <f t="array" aca="1" ref="CJ39" ca="1">IF($B39="","",IF(ISBLANK(INDIRECT("R11.Software!D"&amp;SUM(18,38*2,20))),"",INDIRECT("R11.Software!D"&amp;SUM(18,38*2,20))))</f>
        <v>N/T</v>
      </c>
      <c r="CK39" s="215" t="str" cm="1">
        <f t="array" aca="1" ref="CK39" ca="1">IF($B39="","",IF(ISBLANK(INDIRECT("R11.Software!D"&amp;SUM(18,38*3,20))),"",INDIRECT("R11.Software!D"&amp;SUM(18,38*3,20))))</f>
        <v>N/T</v>
      </c>
      <c r="CL39" s="215" t="str" cm="1">
        <f t="array" aca="1" ref="CL39" ca="1">IF($B39="","",IF(ISBLANK(INDIRECT("R11.Software!D"&amp;SUM(18,38*4,20))),"",INDIRECT("R11.Software!D"&amp;SUM(18,38*4,20))))</f>
        <v>N/T</v>
      </c>
      <c r="CM39" s="215" t="str" cm="1">
        <f t="array" aca="1" ref="CM39" ca="1">IF($B39="","",IF(ISBLANK(INDIRECT("R11.Software!D"&amp;SUM(18,38*5,20))),"",INDIRECT("R11.Software!D"&amp;SUM(18,38*5,20))))</f>
        <v>N/T</v>
      </c>
      <c r="CN39" s="215" t="str" cm="1">
        <f t="array" aca="1" ref="CN39" ca="1">IF($B39="","",IF(ISBLANK(INDIRECT("R12.ServiciosApoyo!D"&amp;SUM(18,38*0,20))),"",INDIRECT("R12.ServiciosApoyo!D"&amp;SUM(18,38*0,20))))</f>
        <v>N/T</v>
      </c>
      <c r="CO39" s="215" t="str" cm="1">
        <f t="array" aca="1" ref="CO39" ca="1">IF($B39="","",IF(ISBLANK(INDIRECT("R12.ServiciosApoyo!D"&amp;SUM(18,38*1,20))),"",INDIRECT("R12.ServiciosApoyo!D"&amp;SUM(18,38*1,20))))</f>
        <v>N/T</v>
      </c>
      <c r="CP39" s="215" t="str" cm="1">
        <f t="array" aca="1" ref="CP39" ca="1">IF($B39="","",IF(ISBLANK(INDIRECT("R12.ServiciosApoyo!D"&amp;SUM(18,38*2,20))),"",INDIRECT("R12.ServiciosApoyo!D"&amp;SUM(18,38*2,20))))</f>
        <v>N/T</v>
      </c>
      <c r="CQ39" s="215" t="str" cm="1">
        <f t="array" aca="1" ref="CQ39" ca="1">IF($B39="","",IF(ISBLANK(INDIRECT("R12.ServiciosApoyo!D"&amp;SUM(18,38*3,20))),"",INDIRECT("R12.ServiciosApoyo!D"&amp;SUM(18,38*3,20))))</f>
        <v>N/T</v>
      </c>
      <c r="CR39" s="215" t="str" cm="1">
        <f t="array" aca="1" ref="CR39" ca="1">IF($B39="","",IF(ISBLANK(INDIRECT("R12.ServiciosApoyo!D"&amp;SUM(18,38*4,20))),"",INDIRECT("R12.ServiciosApoyo!D"&amp;SUM(18,38*4,20))))</f>
        <v>N/T</v>
      </c>
      <c r="CU39" s="100"/>
      <c r="CV39" s="29"/>
      <c r="CW39" s="29"/>
      <c r="CX39" s="29"/>
    </row>
    <row r="40" spans="2:102" ht="20.25">
      <c r="B40" s="181" t="n" cm="1">
        <f t="array" ref="B40">IFERROR(INDEX('03.Muestra'!$B$8:$B$42,SMALL(IF("Página Web"='03.Muestra'!$D$8:$D$42,ROW('03.Muestra'!$B$8:$B$42)-MIN(ROW('03.Muestra'!$D$8:$D$42))+1,""),ROW()-19)),"")</f>
        <v>1.0</v>
      </c>
      <c r="C40" s="97" t="str" cm="1">
        <f t="array" ref="C40">IFERROR(INDEX('03.Muestra'!$C$8:$C$42,SMALL(IF("Página Web"='03.Muestra'!$D$8:$D$42,ROW('03.Muestra'!$C$8:$C$42)-MIN(ROW('03.Muestra'!$D$8:$D$42))+1,""),ROW()-19)),"")</f>
        <v>Home - PortCastelló</v>
      </c>
      <c r="D40" s="98" t="str" cm="1">
        <f t="array" ref="D40">IFERROR(INDEX('03.Muestra'!$F$8:$F$42,SMALL(IF("Página Web"='03.Muestra'!$D$8:$D$42,ROW('03.Muestra'!$F$8:$F$42)-MIN(ROW('03.Muestra'!$D$8:$D$42))+1,""),ROW()-19)),"")</f>
        <v>https://www.portcastello.com/</v>
      </c>
      <c r="E40" s="215" t="str" cm="1">
        <f t="array" aca="1" ref="E40" ca="1">IF($B40="","",IF(ISBLANK(INDIRECT("R5.Genéricos!D"&amp;SUM(18,38*0,21))),"",INDIRECT("R5.Genéricos!D"&amp;SUM(18,38*0,21))))</f>
        <v>N/T</v>
      </c>
      <c r="F40" s="215" t="str" cm="1">
        <f t="array" aca="1" ref="F40" ca="1">IF($B40="","",IF(ISBLANK(INDIRECT("R5.Genéricos!D"&amp;SUM(18,38*1,21))),"",INDIRECT("R5.Genéricos!D"&amp;SUM(18,38*1,21))))</f>
        <v>N/T</v>
      </c>
      <c r="G40" s="215" t="str" cm="1">
        <f t="array" aca="1" ref="G40" ca="1">IF($B40="","",IF(ISBLANK(INDIRECT("R5.Genéricos!D"&amp;SUM(18,38*2,21))),"",INDIRECT("R5.Genéricos!D"&amp;SUM(18,38*2,21))))</f>
        <v>N/T</v>
      </c>
      <c r="H40" s="215" t="str" cm="1">
        <f t="array" aca="1" ref="H40" ca="1">IF($B40="","",IF(ISBLANK(INDIRECT("R6.Voz!D"&amp;SUM(18,38*0,21))),"",INDIRECT("R6.Voz!D"&amp;SUM(18,38*0,21))))</f>
        <v>N/T</v>
      </c>
      <c r="I40" s="215" t="str" cm="1">
        <f t="array" aca="1" ref="I40" ca="1">IF($B40="","",IF(ISBLANK(INDIRECT("R6.Voz!D"&amp;SUM(18,38*1,21))),"",INDIRECT("R6.Voz!D"&amp;SUM(18,38*1,21))))</f>
        <v>N/T</v>
      </c>
      <c r="J40" s="215" t="str" cm="1">
        <f t="array" aca="1" ref="J40" ca="1">IF($B40="","",IF(ISBLANK(INDIRECT("R6.Voz!D"&amp;SUM(18,38*2,21))),"",INDIRECT("R6.Voz!D"&amp;SUM(18,38*2,21))))</f>
        <v>N/T</v>
      </c>
      <c r="K40" s="215" t="str" cm="1">
        <f t="array" aca="1" ref="K40" ca="1">IF($B40="","",IF(ISBLANK(INDIRECT("R6.Voz!D"&amp;SUM(18,38*3,21))),"",INDIRECT("R6.Voz!D"&amp;SUM(18,38*3,21))))</f>
        <v>N/T</v>
      </c>
      <c r="L40" s="215" t="str" cm="1">
        <f t="array" aca="1" ref="L40" ca="1">IF($B40="","",IF(ISBLANK(INDIRECT("R6.Voz!D"&amp;SUM(18,38*4,21))),"",INDIRECT("R6.Voz!D"&amp;SUM(18,38*4,21))))</f>
        <v>N/T</v>
      </c>
      <c r="M40" s="215" t="str" cm="1">
        <f t="array" aca="1" ref="M40" ca="1">IF($B40="","",IF(ISBLANK(INDIRECT("R6.Voz!D"&amp;SUM(18,38*5,21))),"",INDIRECT("R6.Voz!D"&amp;SUM(18,38*5,21))))</f>
        <v>N/T</v>
      </c>
      <c r="N40" s="215" t="str" cm="1">
        <f t="array" aca="1" ref="N40" ca="1">IF($B40="","",IF(ISBLANK(INDIRECT("R6.Voz!D"&amp;SUM(18,38*6,21))),"",INDIRECT("R6.Voz!D"&amp;SUM(18,38*6,21))))</f>
        <v>N/T</v>
      </c>
      <c r="O40" s="215" t="str" cm="1">
        <f t="array" aca="1" ref="O40" ca="1">IF($B40="","",IF(ISBLANK(INDIRECT("R6.Voz!D"&amp;SUM(18,38*7,21))),"",INDIRECT("R6.Voz!D"&amp;SUM(18,38*7,21))))</f>
        <v>N/T</v>
      </c>
      <c r="P40" s="215" t="str" cm="1">
        <f t="array" aca="1" ref="P40" ca="1">IF($B40="","",IF(ISBLANK(INDIRECT("R6.Voz!D"&amp;SUM(18,38*8,21))),"",INDIRECT("R6.Voz!D"&amp;SUM(18,38*8,21))))</f>
        <v>N/T</v>
      </c>
      <c r="Q40" s="215" t="str" cm="1">
        <f t="array" aca="1" ref="Q40" ca="1">IF($B40="","",IF(ISBLANK(INDIRECT("R6.Voz!D"&amp;SUM(18,38*9,21))),"",INDIRECT("R6.Voz!D"&amp;SUM(18,38*9,21))))</f>
        <v>N/T</v>
      </c>
      <c r="R40" s="215" t="str" cm="1">
        <f t="array" aca="1" ref="R40" ca="1">IF($B40="","",IF(ISBLANK(INDIRECT("R6.Voz!D"&amp;SUM(18,38*10,21))),"",INDIRECT("R6.Voz!D"&amp;SUM(18,38*10,21))))</f>
        <v>N/T</v>
      </c>
      <c r="S40" s="215" t="str" cm="1">
        <f t="array" aca="1" ref="S40" ca="1">IF($B40="","",IF(ISBLANK(INDIRECT("R6.Voz!D"&amp;SUM(18,38*11,21))),"",INDIRECT("R6.Voz!D"&amp;SUM(18,38*11,21))))</f>
        <v>N/T</v>
      </c>
      <c r="T40" s="215" t="str" cm="1">
        <f t="array" aca="1" ref="T40" ca="1">IF($B40="","",IF(ISBLANK(INDIRECT("R6.Voz!D"&amp;SUM(18,38*12,21))),"",INDIRECT("R6.Voz!D"&amp;SUM(18,38*12,21))))</f>
        <v>N/T</v>
      </c>
      <c r="U40" s="215" t="str" cm="1">
        <f t="array" aca="1" ref="U40" ca="1">IF($B40="","",IF(ISBLANK(INDIRECT("R6.Voz!D"&amp;SUM(18,38*13,21))),"",INDIRECT("R6.Voz!D"&amp;SUM(18,38*13,21))))</f>
        <v>N/T</v>
      </c>
      <c r="V40" s="215" t="str" cm="1">
        <f t="array" aca="1" ref="V40" ca="1">IF($B40="","",IF(ISBLANK(INDIRECT("R6.Voz!D"&amp;SUM(18,38*14,21))),"",INDIRECT("R6.Voz!D"&amp;SUM(18,38*14,21))))</f>
        <v>N/T</v>
      </c>
      <c r="W40" s="215" t="str" cm="1">
        <f t="array" aca="1" ref="W40" ca="1">IF($B40="","",IF(ISBLANK(INDIRECT("R6.Voz!D"&amp;SUM(18,38*15,21))),"",INDIRECT("R6.Voz!D"&amp;SUM(18,38*15,21))))</f>
        <v>N/T</v>
      </c>
      <c r="X40" s="215" t="str" cm="1">
        <f t="array" aca="1" ref="X40" ca="1">IF($B40="","",IF(ISBLANK(INDIRECT("R6.Voz!D"&amp;SUM(18,38*16,21))),"",INDIRECT("R6.Voz!D"&amp;SUM(18,38*16,21))))</f>
        <v>N/T</v>
      </c>
      <c r="Y40" s="215" t="str" cm="1">
        <f t="array" aca="1" ref="Y40" ca="1">IF($B40="","",IF(ISBLANK(INDIRECT("R6.Voz!D"&amp;SUM(18,38*17,21))),"",INDIRECT("R6.Voz!D"&amp;SUM(18,38*17,21))))</f>
        <v>N/T</v>
      </c>
      <c r="Z40" s="215" t="str" cm="1">
        <f t="array" aca="1" ref="Z40" ca="1">IF($B40="","",IF(ISBLANK(INDIRECT("R6.Voz!D"&amp;SUM(18,38*18,21))),"",INDIRECT("R6.Voz!D"&amp;SUM(18,38*18,21))))</f>
        <v>N/T</v>
      </c>
      <c r="AA40" s="215" t="str" cm="1">
        <f t="array" aca="1" ref="AA40" ca="1">IF($B40="","",IF(ISBLANK(INDIRECT("R7.Video!D"&amp;SUM(18,38*0,21))),"",INDIRECT("R7.Video!D"&amp;SUM(18,38*0,21))))</f>
        <v>N/T</v>
      </c>
      <c r="AB40" s="215" t="str" cm="1">
        <f t="array" aca="1" ref="AB40" ca="1">IF($B40="","",IF(ISBLANK(INDIRECT("R7.Video!D"&amp;SUM(18,38*1,21))),"",INDIRECT("R7.Video!D"&amp;SUM(18,38*1,21))))</f>
        <v>N/T</v>
      </c>
      <c r="AC40" s="215" t="str" cm="1">
        <f t="array" aca="1" ref="AC40" ca="1">IF($B40="","",IF(ISBLANK(INDIRECT("R7.Video!D"&amp;SUM(18,38*2,21))),"",INDIRECT("R7.Video!D"&amp;SUM(18,38*2,21))))</f>
        <v>N/T</v>
      </c>
      <c r="AD40" s="215" t="str" cm="1">
        <f t="array" aca="1" ref="AD40" ca="1">IF($B40="","",IF(ISBLANK(INDIRECT("R7.Video!D"&amp;SUM(18,38*3,21))),"",INDIRECT("R7.Video!D"&amp;SUM(18,38*3,21))))</f>
        <v>N/T</v>
      </c>
      <c r="AE40" s="215" t="str" cm="1">
        <f t="array" aca="1" ref="AE40" ca="1">IF($B40="","",IF(ISBLANK(INDIRECT("R7.Video!D"&amp;SUM(18,38*4,21))),"",INDIRECT("R7.Video!D"&amp;SUM(18,38*4,21))))</f>
        <v>N/T</v>
      </c>
      <c r="AF40" s="215" t="str" cm="1">
        <f t="array" aca="1" ref="AF40" ca="1">IF($B40="","",IF(ISBLANK(INDIRECT("R7.Video!D"&amp;SUM(18,38*5,21))),"",INDIRECT("R7.Video!D"&amp;SUM(18,38*5,21))))</f>
        <v>N/T</v>
      </c>
      <c r="AG40" s="215" t="str" cm="1">
        <f t="array" aca="1" ref="AG40" ca="1">IF($B40="","",IF(ISBLANK(INDIRECT("R7.Video!D"&amp;SUM(18,38*6,21))),"",INDIRECT("R7.Video!D"&amp;SUM(18,38*6,21))))</f>
        <v>N/T</v>
      </c>
      <c r="AH40" s="215" t="str" cm="1">
        <f t="array" aca="1" ref="AH40" ca="1">IF($B40="","",IF(ISBLANK(INDIRECT("R7.Video!D"&amp;SUM(18,38*7,21))),"",INDIRECT("R7.Video!D"&amp;SUM(18,38*7,21))))</f>
        <v>N/T</v>
      </c>
      <c r="AI40" s="215" t="str" cm="1">
        <f t="array" aca="1" ref="AI40" ca="1">IF($B40="","",IF(ISBLANK(INDIRECT("R7.Video!D"&amp;SUM(18,38*8,21))),"",INDIRECT("R7.Video!D"&amp;SUM(18,38*8,21))))</f>
        <v>N/T</v>
      </c>
      <c r="AJ40" s="215" t="str" cm="1">
        <f t="array" aca="1" ref="AJ40" ca="1">IF($B40="","",IF(ISBLANK(INDIRECT("R9.Web!D"&amp;SUM(18,38*0,21))),"",INDIRECT("R9.Web!D"&amp;SUM(18,38*0,21))))</f>
        <v>N/D</v>
      </c>
      <c r="AK40" s="215" t="str" cm="1">
        <f t="array" aca="1" ref="AK40" ca="1">IF($B40="","",IF(ISBLANK(INDIRECT("R9.Web!D"&amp;SUM(18,38*1,21))),"",INDIRECT("R9.Web!D"&amp;SUM(18,38*1,21))))</f>
        <v>N/T</v>
      </c>
      <c r="AL40" s="215" t="str" cm="1">
        <f t="array" aca="1" ref="AL40" ca="1">IF($B40="","",IF(ISBLANK(INDIRECT("R9.Web!D"&amp;SUM(18,38*2,21))),"",INDIRECT("R9.Web!D"&amp;SUM(18,38*2,21))))</f>
        <v>N/T</v>
      </c>
      <c r="AM40" s="215" t="str" cm="1">
        <f t="array" aca="1" ref="AM40" ca="1">IF($B40="","",IF(ISBLANK(INDIRECT("R9.Web!D"&amp;SUM(18,38*3,21))),"",INDIRECT("R9.Web!D"&amp;SUM(18,38*3,21))))</f>
        <v>N/T</v>
      </c>
      <c r="AN40" s="215" t="str" cm="1">
        <f t="array" aca="1" ref="AN40" ca="1">IF($B40="","",IF(ISBLANK(INDIRECT("R9.Web!D"&amp;SUM(18,38*4,21))),"",INDIRECT("R9.Web!D"&amp;SUM(18,38*4,21))))</f>
        <v>N/T</v>
      </c>
      <c r="AO40" s="215" t="str" cm="1">
        <f t="array" aca="1" ref="AO40" ca="1">IF($B40="","",IF(ISBLANK(INDIRECT("R9.Web!D"&amp;SUM(18,38*5,21))),"",INDIRECT("R9.Web!D"&amp;SUM(18,38*5,21))))</f>
        <v>N/D</v>
      </c>
      <c r="AP40" s="215" t="str" cm="1">
        <f t="array" aca="1" ref="AP40" ca="1">IF($B40="","",IF(ISBLANK(INDIRECT("R9.Web!D"&amp;SUM(18,38*6,21))),"",INDIRECT("R9.Web!D"&amp;SUM(18,38*6,21))))</f>
        <v>N/T</v>
      </c>
      <c r="AQ40" s="215" t="str" cm="1">
        <f t="array" aca="1" ref="AQ40" ca="1">IF($B40="","",IF(ISBLANK(INDIRECT("R9.Web!D"&amp;SUM(18,38*7,21))),"",INDIRECT("R9.Web!D"&amp;SUM(18,38*7,21))))</f>
        <v>N/T</v>
      </c>
      <c r="AR40" s="215" t="str" cm="1">
        <f t="array" aca="1" ref="AR40" ca="1">IF($B40="","",IF(ISBLANK(INDIRECT("R9.Web!D"&amp;SUM(18,38*8,21))),"",INDIRECT("R9.Web!D"&amp;SUM(18,38*8,21))))</f>
        <v>N/D</v>
      </c>
      <c r="AS40" s="215" t="str" cm="1">
        <f t="array" aca="1" ref="AS40" ca="1">IF($B40="","",IF(ISBLANK(INDIRECT("R9.Web!D"&amp;SUM(18,38*9,21))),"",INDIRECT("R9.Web!D"&amp;SUM(18,38*9,21))))</f>
        <v>N/D</v>
      </c>
      <c r="AT40" s="215" t="str" cm="1">
        <f t="array" aca="1" ref="AT40" ca="1">IF($B40="","",IF(ISBLANK(INDIRECT("R9.Web!D"&amp;SUM(18,38*10,21))),"",INDIRECT("R9.Web!D"&amp;SUM(18,38*10,21))))</f>
        <v>N/T</v>
      </c>
      <c r="AU40" s="215" t="str" cm="1">
        <f t="array" aca="1" ref="AU40" ca="1">IF($B40="","",IF(ISBLANK(INDIRECT("R9.Web!D"&amp;SUM(18,38*11,21))),"",INDIRECT("R9.Web!D"&amp;SUM(18,38*11,21))))</f>
        <v>N/T</v>
      </c>
      <c r="AV40" s="215" t="str" cm="1">
        <f t="array" aca="1" ref="AV40" ca="1">IF($B40="","",IF(ISBLANK(INDIRECT("R9.Web!D"&amp;SUM(18,38*12,21))),"",INDIRECT("R9.Web!D"&amp;SUM(18,38*12,21))))</f>
        <v>N/D</v>
      </c>
      <c r="AW40" s="215" t="str" cm="1">
        <f t="array" aca="1" ref="AW40" ca="1">IF($B40="","",IF(ISBLANK(INDIRECT("R9.Web!D"&amp;SUM(18,38*13,21))),"",INDIRECT("R9.Web!D"&amp;SUM(18,38*13,21))))</f>
        <v>N/T</v>
      </c>
      <c r="AX40" s="215" t="str" cm="1">
        <f t="array" aca="1" ref="AX40" ca="1">IF($B40="","",IF(ISBLANK(INDIRECT("R9.Web!D"&amp;SUM(18,38*14,21))),"",INDIRECT("R9.Web!D"&amp;SUM(18,38*14,21))))</f>
        <v>N/T</v>
      </c>
      <c r="AY40" s="215" t="str" cm="1">
        <f t="array" aca="1" ref="AY40" ca="1">IF($B40="","",IF(ISBLANK(INDIRECT("R9.Web!D"&amp;SUM(18,38*15,21))),"",INDIRECT("R9.Web!D"&amp;SUM(18,38*15,21))))</f>
        <v>N/D</v>
      </c>
      <c r="AZ40" s="215" t="str" cm="1">
        <f t="array" aca="1" ref="AZ40" ca="1">IF($B40="","",IF(ISBLANK(INDIRECT("R9.Web!D"&amp;SUM(18,38*16,21))),"",INDIRECT("R9.Web!D"&amp;SUM(18,38*16,21))))</f>
        <v>N/T</v>
      </c>
      <c r="BA40" s="215" t="str" cm="1">
        <f t="array" aca="1" ref="BA40" ca="1">IF($B40="","",IF(ISBLANK(INDIRECT("R9.Web!D"&amp;SUM(18,38*17,21))),"",INDIRECT("R9.Web!D"&amp;SUM(18,38*17,21))))</f>
        <v>N/D</v>
      </c>
      <c r="BB40" s="215" t="str" cm="1">
        <f t="array" aca="1" ref="BB40" ca="1">IF($B40="","",IF(ISBLANK(INDIRECT("R9.Web!D"&amp;SUM(18,38*18,21))),"",INDIRECT("R9.Web!D"&amp;SUM(18,38*18,21))))</f>
        <v>N/T</v>
      </c>
      <c r="BC40" s="215" t="str" cm="1">
        <f t="array" aca="1" ref="BC40" ca="1">IF($B40="","",IF(ISBLANK(INDIRECT("R9.Web!D"&amp;SUM(18,38*19,21))),"",INDIRECT("R9.Web!D"&amp;SUM(18,38*19,21))))</f>
        <v>N/D</v>
      </c>
      <c r="BD40" s="215" t="str" cm="1">
        <f t="array" aca="1" ref="BD40" ca="1">IF($B40="","",IF(ISBLANK(INDIRECT("R9.Web!D"&amp;SUM(18,38*20,21))),"",INDIRECT("R9.Web!D"&amp;SUM(18,38*20,21))))</f>
        <v>N/T</v>
      </c>
      <c r="BE40" s="215" t="str" cm="1">
        <f t="array" aca="1" ref="BE40" ca="1">IF($B40="","",IF(ISBLANK(INDIRECT("R9.Web!D"&amp;SUM(18,38*21,21))),"",INDIRECT("R9.Web!D"&amp;SUM(18,38*21,21))))</f>
        <v>N/T</v>
      </c>
      <c r="BF40" s="215" t="str" cm="1">
        <f t="array" aca="1" ref="BF40" ca="1">IF($B40="","",IF(ISBLANK(INDIRECT("R9.Web!D"&amp;SUM(18,38*22,21))),"",INDIRECT("R9.Web!D"&amp;SUM(18,38*22,21))))</f>
        <v>N/D</v>
      </c>
      <c r="BG40" s="215" t="str" cm="1">
        <f t="array" aca="1" ref="BG40" ca="1">IF($B40="","",IF(ISBLANK(INDIRECT("R9.Web!D"&amp;SUM(18,38*23,21))),"",INDIRECT("R9.Web!D"&amp;SUM(18,38*23,21))))</f>
        <v>N/D</v>
      </c>
      <c r="BH40" s="215" t="str" cm="1">
        <f t="array" aca="1" ref="BH40" ca="1">IF($B40="","",IF(ISBLANK(INDIRECT("R9.Web!D"&amp;SUM(18,38*24,21))),"",INDIRECT("R9.Web!D"&amp;SUM(18,38*24,21))))</f>
        <v>N/T</v>
      </c>
      <c r="BI40" s="215" t="str" cm="1">
        <f t="array" aca="1" ref="BI40" ca="1">IF($B40="","",IF(ISBLANK(INDIRECT("R9.Web!D"&amp;SUM(18,38*25,21))),"",INDIRECT("R9.Web!D"&amp;SUM(18,38*25,21))))</f>
        <v>N/D</v>
      </c>
      <c r="BJ40" s="215" t="str" cm="1">
        <f t="array" aca="1" ref="BJ40" ca="1">IF($B40="","",IF(ISBLANK(INDIRECT("R9.Web!D"&amp;SUM(18,38*26,21))),"",INDIRECT("R9.Web!D"&amp;SUM(18,38*26,21))))</f>
        <v>N/D</v>
      </c>
      <c r="BK40" s="215" t="str" cm="1">
        <f t="array" aca="1" ref="BK40" ca="1">IF($B40="","",IF(ISBLANK(INDIRECT("R9.Web!D"&amp;SUM(18,38*27,21))),"",INDIRECT("R9.Web!D"&amp;SUM(18,38*27,21))))</f>
        <v>N/D</v>
      </c>
      <c r="BL40" s="215" t="str" cm="1">
        <f t="array" aca="1" ref="BL40" ca="1">IF($B40="","",IF(ISBLANK(INDIRECT("R9.Web!D"&amp;SUM(18,38*28,21))),"",INDIRECT("R9.Web!D"&amp;SUM(18,38*28,21))))</f>
        <v>N/D</v>
      </c>
      <c r="BM40" s="215" t="str" cm="1">
        <f t="array" aca="1" ref="BM40" ca="1">IF($B40="","",IF(ISBLANK(INDIRECT("R9.Web!D"&amp;SUM(18,38*29,21))),"",INDIRECT("R9.Web!D"&amp;SUM(18,38*29,21))))</f>
        <v>N/D</v>
      </c>
      <c r="BN40" s="215" t="str" cm="1">
        <f t="array" aca="1" ref="BN40" ca="1">IF($B40="","",IF(ISBLANK(INDIRECT("R9.Web!D"&amp;SUM(18,38*30,21))),"",INDIRECT("R9.Web!D"&amp;SUM(18,38*30,21))))</f>
        <v>N/T</v>
      </c>
      <c r="BO40" s="215" t="str" cm="1">
        <f t="array" aca="1" ref="BO40" ca="1">IF($B40="","",IF(ISBLANK(INDIRECT("R9.Web!D"&amp;SUM(18,38*31,21))),"",INDIRECT("R9.Web!D"&amp;SUM(18,38*31,21))))</f>
        <v>N/D</v>
      </c>
      <c r="BP40" s="215" t="str" cm="1">
        <f t="array" aca="1" ref="BP40" ca="1">IF($B40="","",IF(ISBLANK(INDIRECT("R9.Web!D"&amp;SUM(18,38*32,21))),"",INDIRECT("R9.Web!D"&amp;SUM(18,38*32,21))))</f>
        <v>N/T</v>
      </c>
      <c r="BQ40" s="215" t="str" cm="1">
        <f t="array" aca="1" ref="BQ40" ca="1">IF($B40="","",IF(ISBLANK(INDIRECT("R9.Web!D"&amp;SUM(18,38*33,21))),"",INDIRECT("R9.Web!D"&amp;SUM(18,38*33,21))))</f>
        <v>N/T</v>
      </c>
      <c r="BR40" s="215" t="str" cm="1">
        <f t="array" aca="1" ref="BR40" ca="1">IF($B40="","",IF(ISBLANK(INDIRECT("R9.Web!D"&amp;SUM(18,38*34,21))),"",INDIRECT("R9.Web!D"&amp;SUM(18,38*34,21))))</f>
        <v>N/D</v>
      </c>
      <c r="BS40" s="215" t="str" cm="1">
        <f t="array" aca="1" ref="BS40" ca="1">IF($B40="","",IF(ISBLANK(INDIRECT("R9.Web!D"&amp;SUM(18,38*35,21))),"",INDIRECT("R9.Web!D"&amp;SUM(18,38*35,21))))</f>
        <v>N/T</v>
      </c>
      <c r="BT40" s="215" t="str" cm="1">
        <f t="array" aca="1" ref="BT40" ca="1">IF($B40="","",IF(ISBLANK(INDIRECT("R9.Web!D"&amp;SUM(18,38*36,21))),"",INDIRECT("R9.Web!D"&amp;SUM(18,38*36,21))))</f>
        <v>N/D</v>
      </c>
      <c r="BU40" s="215" t="str" cm="1">
        <f t="array" aca="1" ref="BU40" ca="1">IF($B40="","",IF(ISBLANK(INDIRECT("R9.Web!D"&amp;SUM(18,38*37,21))),"",INDIRECT("R9.Web!D"&amp;SUM(18,38*37,21))))</f>
        <v>N/D</v>
      </c>
      <c r="BV40" s="215" t="str" cm="1">
        <f t="array" aca="1" ref="BV40" ca="1">IF($B40="","",IF(ISBLANK(INDIRECT("R9.Web!D"&amp;SUM(18,38*38,21))),"",INDIRECT("R9.Web!D"&amp;SUM(18,38*38,21))))</f>
        <v>N/D</v>
      </c>
      <c r="BW40" s="215" t="str" cm="1">
        <f t="array" aca="1" ref="BW40" ca="1">IF($B40="","",IF(ISBLANK(INDIRECT("R9.Web!D"&amp;SUM(18,38*39,21))),"",INDIRECT("R9.Web!D"&amp;SUM(18,38*39,21))))</f>
        <v>N/D</v>
      </c>
      <c r="BX40" s="215" t="str" cm="1">
        <f t="array" aca="1" ref="BX40" ca="1">IF($B40="","",IF(ISBLANK(INDIRECT("R9.Web!D"&amp;SUM(18,38*40,21))),"",INDIRECT("R9.Web!D"&amp;SUM(18,38*40,21))))</f>
        <v>N/D</v>
      </c>
      <c r="BY40" s="215" t="str" cm="1">
        <f t="array" aca="1" ref="BY40" ca="1">IF($B40="","",IF(ISBLANK(INDIRECT("R9.Web!D"&amp;SUM(18,38*41,21))),"",INDIRECT("R9.Web!D"&amp;SUM(18,38*41,21))))</f>
        <v>N/T</v>
      </c>
      <c r="BZ40" s="215" t="str" cm="1">
        <f t="array" aca="1" ref="BZ40" ca="1">IF($B40="","",IF(ISBLANK(INDIRECT("R9.Web!D"&amp;SUM(18,38*42,21))),"",INDIRECT("R9.Web!D"&amp;SUM(18,38*42,21))))</f>
        <v>N/T</v>
      </c>
      <c r="CA40" s="215" t="str" cm="1">
        <f t="array" aca="1" ref="CA40" ca="1">IF($B40="","",IF(ISBLANK(INDIRECT("R9.Web!D"&amp;SUM(18,38*43,21))),"",INDIRECT("R9.Web!D"&amp;SUM(18,38*43,21))))</f>
        <v>N/D</v>
      </c>
      <c r="CB40" s="215" t="str" cm="1">
        <f t="array" aca="1" ref="CB40" ca="1">IF($B40="","",IF(ISBLANK(INDIRECT("R9.Web!D"&amp;SUM(18,38*44,21))),"",INDIRECT("R9.Web!D"&amp;SUM(18,38*44,21))))</f>
        <v>N/T</v>
      </c>
      <c r="CC40" s="215" t="str" cm="1">
        <f t="array" aca="1" ref="CC40" ca="1">IF($B40="","",IF(ISBLANK(INDIRECT("R9.Web!D"&amp;SUM(18,38*45,21))),"",INDIRECT("R9.Web!D"&amp;SUM(18,38*45,21))))</f>
        <v>N/T</v>
      </c>
      <c r="CD40" s="215" t="str" cm="1">
        <f t="array" aca="1" ref="CD40" ca="1">IF($B40="","",IF(ISBLANK(INDIRECT("R9.Web!D"&amp;SUM(18,38*46,21))),"",INDIRECT("R9.Web!D"&amp;SUM(18,38*46,21))))</f>
        <v>N/T</v>
      </c>
      <c r="CE40" s="215" t="str" cm="1">
        <f t="array" aca="1" ref="CE40" ca="1">IF($B40="","",IF(ISBLANK(INDIRECT("R9.Web!D"&amp;SUM(18,38*47,21))),"",INDIRECT("R9.Web!D"&amp;SUM(18,38*47,21))))</f>
        <v>N/D</v>
      </c>
      <c r="CF40" s="215" t="str" cm="1">
        <f t="array" aca="1" ref="CF40" ca="1">IF($B40="","",IF(ISBLANK(INDIRECT("R9.Web!D"&amp;SUM(18,38*48,21))),"",INDIRECT("R9.Web!D"&amp;SUM(18,38*48,21))))</f>
        <v>N/T</v>
      </c>
      <c r="CG40" s="215" t="str" cm="1">
        <f t="array" aca="1" ref="CG40" ca="1">IF($B40="","",IF(ISBLANK(INDIRECT("R9.Web!D"&amp;SUM(18,38*49,21))),"",INDIRECT("R9.Web!D"&amp;SUM(18,38*49,21))))</f>
        <v>N/T</v>
      </c>
      <c r="CH40" s="215" t="str" cm="1">
        <f t="array" aca="1" ref="CH40" ca="1">IF($B40="","",IF(ISBLANK(INDIRECT("R11.Software!D"&amp;SUM(18,38*0,21))),"",INDIRECT("R11.Software!D"&amp;SUM(18,38*0,21))))</f>
        <v>N/T</v>
      </c>
      <c r="CI40" s="215" t="str" cm="1">
        <f t="array" aca="1" ref="CI40" ca="1">IF($B40="","",IF(ISBLANK(INDIRECT("R11.Software!D"&amp;SUM(18,38*1,21))),"",INDIRECT("R11.Software!D"&amp;SUM(18,38*1,21))))</f>
        <v>N/T</v>
      </c>
      <c r="CJ40" s="215" t="str" cm="1">
        <f t="array" aca="1" ref="CJ40" ca="1">IF($B40="","",IF(ISBLANK(INDIRECT("R11.Software!D"&amp;SUM(18,38*2,21))),"",INDIRECT("R11.Software!D"&amp;SUM(18,38*2,21))))</f>
        <v>N/T</v>
      </c>
      <c r="CK40" s="215" t="str" cm="1">
        <f t="array" aca="1" ref="CK40" ca="1">IF($B40="","",IF(ISBLANK(INDIRECT("R11.Software!D"&amp;SUM(18,38*3,21))),"",INDIRECT("R11.Software!D"&amp;SUM(18,38*3,21))))</f>
        <v>N/T</v>
      </c>
      <c r="CL40" s="215" t="str" cm="1">
        <f t="array" aca="1" ref="CL40" ca="1">IF($B40="","",IF(ISBLANK(INDIRECT("R11.Software!D"&amp;SUM(18,38*4,21))),"",INDIRECT("R11.Software!D"&amp;SUM(18,38*4,21))))</f>
        <v>N/T</v>
      </c>
      <c r="CM40" s="215" t="str" cm="1">
        <f t="array" aca="1" ref="CM40" ca="1">IF($B40="","",IF(ISBLANK(INDIRECT("R11.Software!D"&amp;SUM(18,38*5,21))),"",INDIRECT("R11.Software!D"&amp;SUM(18,38*5,21))))</f>
        <v>N/T</v>
      </c>
      <c r="CN40" s="215" t="str" cm="1">
        <f t="array" aca="1" ref="CN40" ca="1">IF($B40="","",IF(ISBLANK(INDIRECT("R12.ServiciosApoyo!D"&amp;SUM(18,38*0,21))),"",INDIRECT("R12.ServiciosApoyo!D"&amp;SUM(18,38*0,21))))</f>
        <v>N/T</v>
      </c>
      <c r="CO40" s="215" t="str" cm="1">
        <f t="array" aca="1" ref="CO40" ca="1">IF($B40="","",IF(ISBLANK(INDIRECT("R12.ServiciosApoyo!D"&amp;SUM(18,38*1,21))),"",INDIRECT("R12.ServiciosApoyo!D"&amp;SUM(18,38*1,21))))</f>
        <v>N/T</v>
      </c>
      <c r="CP40" s="215" t="str" cm="1">
        <f t="array" aca="1" ref="CP40" ca="1">IF($B40="","",IF(ISBLANK(INDIRECT("R12.ServiciosApoyo!D"&amp;SUM(18,38*2,21))),"",INDIRECT("R12.ServiciosApoyo!D"&amp;SUM(18,38*2,21))))</f>
        <v>N/T</v>
      </c>
      <c r="CQ40" s="215" t="str" cm="1">
        <f t="array" aca="1" ref="CQ40" ca="1">IF($B40="","",IF(ISBLANK(INDIRECT("R12.ServiciosApoyo!D"&amp;SUM(18,38*3,21))),"",INDIRECT("R12.ServiciosApoyo!D"&amp;SUM(18,38*3,21))))</f>
        <v>N/T</v>
      </c>
      <c r="CR40" s="215" t="str" cm="1">
        <f t="array" aca="1" ref="CR40" ca="1">IF($B40="","",IF(ISBLANK(INDIRECT("R12.ServiciosApoyo!D"&amp;SUM(18,38*4,21))),"",INDIRECT("R12.ServiciosApoyo!D"&amp;SUM(18,38*4,21))))</f>
        <v>N/T</v>
      </c>
      <c r="CU40" s="100"/>
      <c r="CV40" s="29"/>
      <c r="CW40" s="29"/>
      <c r="CX40" s="29"/>
    </row>
    <row r="41" spans="2:102" ht="20.25">
      <c r="B41" s="181" t="n" cm="1">
        <f t="array" ref="B41">IFERROR(INDEX('03.Muestra'!$B$8:$B$42,SMALL(IF("Página Web"='03.Muestra'!$D$8:$D$42,ROW('03.Muestra'!$B$8:$B$42)-MIN(ROW('03.Muestra'!$D$8:$D$42))+1,""),ROW()-19)),"")</f>
        <v>1.0</v>
      </c>
      <c r="C41" s="97" t="str" cm="1">
        <f t="array" ref="C41">IFERROR(INDEX('03.Muestra'!$C$8:$C$42,SMALL(IF("Página Web"='03.Muestra'!$D$8:$D$42,ROW('03.Muestra'!$C$8:$C$42)-MIN(ROW('03.Muestra'!$D$8:$D$42))+1,""),ROW()-19)),"")</f>
        <v>Home - PortCastelló</v>
      </c>
      <c r="D41" s="98" t="str" cm="1">
        <f t="array" ref="D41">IFERROR(INDEX('03.Muestra'!$F$8:$F$42,SMALL(IF("Página Web"='03.Muestra'!$D$8:$D$42,ROW('03.Muestra'!$F$8:$F$42)-MIN(ROW('03.Muestra'!$D$8:$D$42))+1,""),ROW()-19)),"")</f>
        <v>https://www.portcastello.com/</v>
      </c>
      <c r="E41" s="215" t="str" cm="1">
        <f t="array" aca="1" ref="E41" ca="1">IF($B41="","",IF(ISBLANK(INDIRECT("R5.Genéricos!D"&amp;SUM(18,38*0,22))),"",INDIRECT("R5.Genéricos!D"&amp;SUM(18,38*0,22))))</f>
        <v>N/T</v>
      </c>
      <c r="F41" s="215" t="str" cm="1">
        <f t="array" aca="1" ref="F41" ca="1">IF($B41="","",IF(ISBLANK(INDIRECT("R5.Genéricos!D"&amp;SUM(18,38*1,22))),"",INDIRECT("R5.Genéricos!D"&amp;SUM(18,38*1,22))))</f>
        <v>N/T</v>
      </c>
      <c r="G41" s="215" t="str" cm="1">
        <f t="array" aca="1" ref="G41" ca="1">IF($B41="","",IF(ISBLANK(INDIRECT("R5.Genéricos!D"&amp;SUM(18,38*2,22))),"",INDIRECT("R5.Genéricos!D"&amp;SUM(18,38*2,22))))</f>
        <v>N/T</v>
      </c>
      <c r="H41" s="215" t="str" cm="1">
        <f t="array" aca="1" ref="H41" ca="1">IF($B41="","",IF(ISBLANK(INDIRECT("R6.Voz!D"&amp;SUM(18,38*0,22))),"",INDIRECT("R6.Voz!D"&amp;SUM(18,38*0,22))))</f>
        <v>N/T</v>
      </c>
      <c r="I41" s="215" t="str" cm="1">
        <f t="array" aca="1" ref="I41" ca="1">IF($B41="","",IF(ISBLANK(INDIRECT("R6.Voz!D"&amp;SUM(18,38*1,22))),"",INDIRECT("R6.Voz!D"&amp;SUM(18,38*1,22))))</f>
        <v>N/T</v>
      </c>
      <c r="J41" s="215" t="str" cm="1">
        <f t="array" aca="1" ref="J41" ca="1">IF($B41="","",IF(ISBLANK(INDIRECT("R6.Voz!D"&amp;SUM(18,38*2,22))),"",INDIRECT("R6.Voz!D"&amp;SUM(18,38*2,22))))</f>
        <v>N/T</v>
      </c>
      <c r="K41" s="215" t="str" cm="1">
        <f t="array" aca="1" ref="K41" ca="1">IF($B41="","",IF(ISBLANK(INDIRECT("R6.Voz!D"&amp;SUM(18,38*3,22))),"",INDIRECT("R6.Voz!D"&amp;SUM(18,38*3,22))))</f>
        <v>N/T</v>
      </c>
      <c r="L41" s="215" t="str" cm="1">
        <f t="array" aca="1" ref="L41" ca="1">IF($B41="","",IF(ISBLANK(INDIRECT("R6.Voz!D"&amp;SUM(18,38*4,22))),"",INDIRECT("R6.Voz!D"&amp;SUM(18,38*4,22))))</f>
        <v>N/T</v>
      </c>
      <c r="M41" s="215" t="str" cm="1">
        <f t="array" aca="1" ref="M41" ca="1">IF($B41="","",IF(ISBLANK(INDIRECT("R6.Voz!D"&amp;SUM(18,38*5,22))),"",INDIRECT("R6.Voz!D"&amp;SUM(18,38*5,22))))</f>
        <v>N/T</v>
      </c>
      <c r="N41" s="215" t="str" cm="1">
        <f t="array" aca="1" ref="N41" ca="1">IF($B41="","",IF(ISBLANK(INDIRECT("R6.Voz!D"&amp;SUM(18,38*6,22))),"",INDIRECT("R6.Voz!D"&amp;SUM(18,38*6,22))))</f>
        <v>N/T</v>
      </c>
      <c r="O41" s="215" t="str" cm="1">
        <f t="array" aca="1" ref="O41" ca="1">IF($B41="","",IF(ISBLANK(INDIRECT("R6.Voz!D"&amp;SUM(18,38*7,22))),"",INDIRECT("R6.Voz!D"&amp;SUM(18,38*7,22))))</f>
        <v>N/T</v>
      </c>
      <c r="P41" s="215" t="str" cm="1">
        <f t="array" aca="1" ref="P41" ca="1">IF($B41="","",IF(ISBLANK(INDIRECT("R6.Voz!D"&amp;SUM(18,38*8,22))),"",INDIRECT("R6.Voz!D"&amp;SUM(18,38*8,22))))</f>
        <v>N/T</v>
      </c>
      <c r="Q41" s="215" t="str" cm="1">
        <f t="array" aca="1" ref="Q41" ca="1">IF($B41="","",IF(ISBLANK(INDIRECT("R6.Voz!D"&amp;SUM(18,38*9,22))),"",INDIRECT("R6.Voz!D"&amp;SUM(18,38*9,22))))</f>
        <v>N/T</v>
      </c>
      <c r="R41" s="215" t="str" cm="1">
        <f t="array" aca="1" ref="R41" ca="1">IF($B41="","",IF(ISBLANK(INDIRECT("R6.Voz!D"&amp;SUM(18,38*10,22))),"",INDIRECT("R6.Voz!D"&amp;SUM(18,38*10,22))))</f>
        <v>N/T</v>
      </c>
      <c r="S41" s="215" t="str" cm="1">
        <f t="array" aca="1" ref="S41" ca="1">IF($B41="","",IF(ISBLANK(INDIRECT("R6.Voz!D"&amp;SUM(18,38*11,22))),"",INDIRECT("R6.Voz!D"&amp;SUM(18,38*11,22))))</f>
        <v>N/T</v>
      </c>
      <c r="T41" s="215" t="str" cm="1">
        <f t="array" aca="1" ref="T41" ca="1">IF($B41="","",IF(ISBLANK(INDIRECT("R6.Voz!D"&amp;SUM(18,38*12,22))),"",INDIRECT("R6.Voz!D"&amp;SUM(18,38*12,22))))</f>
        <v>N/T</v>
      </c>
      <c r="U41" s="215" t="str" cm="1">
        <f t="array" aca="1" ref="U41" ca="1">IF($B41="","",IF(ISBLANK(INDIRECT("R6.Voz!D"&amp;SUM(18,38*13,22))),"",INDIRECT("R6.Voz!D"&amp;SUM(18,38*13,22))))</f>
        <v>N/T</v>
      </c>
      <c r="V41" s="215" t="str" cm="1">
        <f t="array" aca="1" ref="V41" ca="1">IF($B41="","",IF(ISBLANK(INDIRECT("R6.Voz!D"&amp;SUM(18,38*14,22))),"",INDIRECT("R6.Voz!D"&amp;SUM(18,38*14,22))))</f>
        <v>N/T</v>
      </c>
      <c r="W41" s="215" t="str" cm="1">
        <f t="array" aca="1" ref="W41" ca="1">IF($B41="","",IF(ISBLANK(INDIRECT("R6.Voz!D"&amp;SUM(18,38*15,22))),"",INDIRECT("R6.Voz!D"&amp;SUM(18,38*15,22))))</f>
        <v>N/T</v>
      </c>
      <c r="X41" s="215" t="str" cm="1">
        <f t="array" aca="1" ref="X41" ca="1">IF($B41="","",IF(ISBLANK(INDIRECT("R6.Voz!D"&amp;SUM(18,38*16,22))),"",INDIRECT("R6.Voz!D"&amp;SUM(18,38*16,22))))</f>
        <v>N/T</v>
      </c>
      <c r="Y41" s="215" t="str" cm="1">
        <f t="array" aca="1" ref="Y41" ca="1">IF($B41="","",IF(ISBLANK(INDIRECT("R6.Voz!D"&amp;SUM(18,38*17,22))),"",INDIRECT("R6.Voz!D"&amp;SUM(18,38*17,22))))</f>
        <v>N/T</v>
      </c>
      <c r="Z41" s="215" t="str" cm="1">
        <f t="array" aca="1" ref="Z41" ca="1">IF($B41="","",IF(ISBLANK(INDIRECT("R6.Voz!D"&amp;SUM(18,38*18,22))),"",INDIRECT("R6.Voz!D"&amp;SUM(18,38*18,22))))</f>
        <v>N/T</v>
      </c>
      <c r="AA41" s="215" t="str" cm="1">
        <f t="array" aca="1" ref="AA41" ca="1">IF($B41="","",IF(ISBLANK(INDIRECT("R7.Video!D"&amp;SUM(18,38*0,22))),"",INDIRECT("R7.Video!D"&amp;SUM(18,38*0,22))))</f>
        <v>N/T</v>
      </c>
      <c r="AB41" s="215" t="str" cm="1">
        <f t="array" aca="1" ref="AB41" ca="1">IF($B41="","",IF(ISBLANK(INDIRECT("R7.Video!D"&amp;SUM(18,38*1,22))),"",INDIRECT("R7.Video!D"&amp;SUM(18,38*1,22))))</f>
        <v>N/T</v>
      </c>
      <c r="AC41" s="215" t="str" cm="1">
        <f t="array" aca="1" ref="AC41" ca="1">IF($B41="","",IF(ISBLANK(INDIRECT("R7.Video!D"&amp;SUM(18,38*2,22))),"",INDIRECT("R7.Video!D"&amp;SUM(18,38*2,22))))</f>
        <v>N/T</v>
      </c>
      <c r="AD41" s="215" t="str" cm="1">
        <f t="array" aca="1" ref="AD41" ca="1">IF($B41="","",IF(ISBLANK(INDIRECT("R7.Video!D"&amp;SUM(18,38*3,22))),"",INDIRECT("R7.Video!D"&amp;SUM(18,38*3,22))))</f>
        <v>N/T</v>
      </c>
      <c r="AE41" s="215" t="str" cm="1">
        <f t="array" aca="1" ref="AE41" ca="1">IF($B41="","",IF(ISBLANK(INDIRECT("R7.Video!D"&amp;SUM(18,38*4,22))),"",INDIRECT("R7.Video!D"&amp;SUM(18,38*4,22))))</f>
        <v>N/T</v>
      </c>
      <c r="AF41" s="215" t="str" cm="1">
        <f t="array" aca="1" ref="AF41" ca="1">IF($B41="","",IF(ISBLANK(INDIRECT("R7.Video!D"&amp;SUM(18,38*5,22))),"",INDIRECT("R7.Video!D"&amp;SUM(18,38*5,22))))</f>
        <v>N/T</v>
      </c>
      <c r="AG41" s="215" t="str" cm="1">
        <f t="array" aca="1" ref="AG41" ca="1">IF($B41="","",IF(ISBLANK(INDIRECT("R7.Video!D"&amp;SUM(18,38*6,22))),"",INDIRECT("R7.Video!D"&amp;SUM(18,38*6,22))))</f>
        <v>N/T</v>
      </c>
      <c r="AH41" s="215" t="str" cm="1">
        <f t="array" aca="1" ref="AH41" ca="1">IF($B41="","",IF(ISBLANK(INDIRECT("R7.Video!D"&amp;SUM(18,38*7,22))),"",INDIRECT("R7.Video!D"&amp;SUM(18,38*7,22))))</f>
        <v>N/T</v>
      </c>
      <c r="AI41" s="215" t="str" cm="1">
        <f t="array" aca="1" ref="AI41" ca="1">IF($B41="","",IF(ISBLANK(INDIRECT("R7.Video!D"&amp;SUM(18,38*8,22))),"",INDIRECT("R7.Video!D"&amp;SUM(18,38*8,22))))</f>
        <v>N/T</v>
      </c>
      <c r="AJ41" s="215" t="str" cm="1">
        <f t="array" aca="1" ref="AJ41" ca="1">IF($B41="","",IF(ISBLANK(INDIRECT("R9.Web!D"&amp;SUM(18,38*0,22))),"",INDIRECT("R9.Web!D"&amp;SUM(18,38*0,22))))</f>
        <v>N/D</v>
      </c>
      <c r="AK41" s="215" t="str" cm="1">
        <f t="array" aca="1" ref="AK41" ca="1">IF($B41="","",IF(ISBLANK(INDIRECT("R9.Web!D"&amp;SUM(18,38*1,22))),"",INDIRECT("R9.Web!D"&amp;SUM(18,38*1,22))))</f>
        <v>N/T</v>
      </c>
      <c r="AL41" s="215" t="str" cm="1">
        <f t="array" aca="1" ref="AL41" ca="1">IF($B41="","",IF(ISBLANK(INDIRECT("R9.Web!D"&amp;SUM(18,38*2,22))),"",INDIRECT("R9.Web!D"&amp;SUM(18,38*2,22))))</f>
        <v>N/T</v>
      </c>
      <c r="AM41" s="215" t="str" cm="1">
        <f t="array" aca="1" ref="AM41" ca="1">IF($B41="","",IF(ISBLANK(INDIRECT("R9.Web!D"&amp;SUM(18,38*3,22))),"",INDIRECT("R9.Web!D"&amp;SUM(18,38*3,22))))</f>
        <v>N/T</v>
      </c>
      <c r="AN41" s="215" t="str" cm="1">
        <f t="array" aca="1" ref="AN41" ca="1">IF($B41="","",IF(ISBLANK(INDIRECT("R9.Web!D"&amp;SUM(18,38*4,22))),"",INDIRECT("R9.Web!D"&amp;SUM(18,38*4,22))))</f>
        <v>N/T</v>
      </c>
      <c r="AO41" s="215" t="str" cm="1">
        <f t="array" aca="1" ref="AO41" ca="1">IF($B41="","",IF(ISBLANK(INDIRECT("R9.Web!D"&amp;SUM(18,38*5,22))),"",INDIRECT("R9.Web!D"&amp;SUM(18,38*5,22))))</f>
        <v>N/D</v>
      </c>
      <c r="AP41" s="215" t="str" cm="1">
        <f t="array" aca="1" ref="AP41" ca="1">IF($B41="","",IF(ISBLANK(INDIRECT("R9.Web!D"&amp;SUM(18,38*6,22))),"",INDIRECT("R9.Web!D"&amp;SUM(18,38*6,22))))</f>
        <v>N/T</v>
      </c>
      <c r="AQ41" s="215" t="str" cm="1">
        <f t="array" aca="1" ref="AQ41" ca="1">IF($B41="","",IF(ISBLANK(INDIRECT("R9.Web!D"&amp;SUM(18,38*7,22))),"",INDIRECT("R9.Web!D"&amp;SUM(18,38*7,22))))</f>
        <v>N/T</v>
      </c>
      <c r="AR41" s="215" t="str" cm="1">
        <f t="array" aca="1" ref="AR41" ca="1">IF($B41="","",IF(ISBLANK(INDIRECT("R9.Web!D"&amp;SUM(18,38*8,22))),"",INDIRECT("R9.Web!D"&amp;SUM(18,38*8,22))))</f>
        <v>N/D</v>
      </c>
      <c r="AS41" s="215" t="str" cm="1">
        <f t="array" aca="1" ref="AS41" ca="1">IF($B41="","",IF(ISBLANK(INDIRECT("R9.Web!D"&amp;SUM(18,38*9,22))),"",INDIRECT("R9.Web!D"&amp;SUM(18,38*9,22))))</f>
        <v>N/D</v>
      </c>
      <c r="AT41" s="215" t="str" cm="1">
        <f t="array" aca="1" ref="AT41" ca="1">IF($B41="","",IF(ISBLANK(INDIRECT("R9.Web!D"&amp;SUM(18,38*10,22))),"",INDIRECT("R9.Web!D"&amp;SUM(18,38*10,22))))</f>
        <v>N/T</v>
      </c>
      <c r="AU41" s="215" t="str" cm="1">
        <f t="array" aca="1" ref="AU41" ca="1">IF($B41="","",IF(ISBLANK(INDIRECT("R9.Web!D"&amp;SUM(18,38*11,22))),"",INDIRECT("R9.Web!D"&amp;SUM(18,38*11,22))))</f>
        <v>N/T</v>
      </c>
      <c r="AV41" s="215" t="str" cm="1">
        <f t="array" aca="1" ref="AV41" ca="1">IF($B41="","",IF(ISBLANK(INDIRECT("R9.Web!D"&amp;SUM(18,38*12,22))),"",INDIRECT("R9.Web!D"&amp;SUM(18,38*12,22))))</f>
        <v>N/D</v>
      </c>
      <c r="AW41" s="215" t="str" cm="1">
        <f t="array" aca="1" ref="AW41" ca="1">IF($B41="","",IF(ISBLANK(INDIRECT("R9.Web!D"&amp;SUM(18,38*13,22))),"",INDIRECT("R9.Web!D"&amp;SUM(18,38*13,22))))</f>
        <v>N/T</v>
      </c>
      <c r="AX41" s="215" t="str" cm="1">
        <f t="array" aca="1" ref="AX41" ca="1">IF($B41="","",IF(ISBLANK(INDIRECT("R9.Web!D"&amp;SUM(18,38*14,22))),"",INDIRECT("R9.Web!D"&amp;SUM(18,38*14,22))))</f>
        <v>N/T</v>
      </c>
      <c r="AY41" s="215" t="str" cm="1">
        <f t="array" aca="1" ref="AY41" ca="1">IF($B41="","",IF(ISBLANK(INDIRECT("R9.Web!D"&amp;SUM(18,38*15,22))),"",INDIRECT("R9.Web!D"&amp;SUM(18,38*15,22))))</f>
        <v>N/D</v>
      </c>
      <c r="AZ41" s="215" t="str" cm="1">
        <f t="array" aca="1" ref="AZ41" ca="1">IF($B41="","",IF(ISBLANK(INDIRECT("R9.Web!D"&amp;SUM(18,38*16,22))),"",INDIRECT("R9.Web!D"&amp;SUM(18,38*16,22))))</f>
        <v>N/T</v>
      </c>
      <c r="BA41" s="215" t="str" cm="1">
        <f t="array" aca="1" ref="BA41" ca="1">IF($B41="","",IF(ISBLANK(INDIRECT("R9.Web!D"&amp;SUM(18,38*17,22))),"",INDIRECT("R9.Web!D"&amp;SUM(18,38*17,22))))</f>
        <v>N/D</v>
      </c>
      <c r="BB41" s="215" t="str" cm="1">
        <f t="array" aca="1" ref="BB41" ca="1">IF($B41="","",IF(ISBLANK(INDIRECT("R9.Web!D"&amp;SUM(18,38*18,22))),"",INDIRECT("R9.Web!D"&amp;SUM(18,38*18,22))))</f>
        <v>N/T</v>
      </c>
      <c r="BC41" s="215" t="str" cm="1">
        <f t="array" aca="1" ref="BC41" ca="1">IF($B41="","",IF(ISBLANK(INDIRECT("R9.Web!D"&amp;SUM(18,38*19,22))),"",INDIRECT("R9.Web!D"&amp;SUM(18,38*19,22))))</f>
        <v>N/D</v>
      </c>
      <c r="BD41" s="215" t="str" cm="1">
        <f t="array" aca="1" ref="BD41" ca="1">IF($B41="","",IF(ISBLANK(INDIRECT("R9.Web!D"&amp;SUM(18,38*20,22))),"",INDIRECT("R9.Web!D"&amp;SUM(18,38*20,22))))</f>
        <v>N/T</v>
      </c>
      <c r="BE41" s="215" t="str" cm="1">
        <f t="array" aca="1" ref="BE41" ca="1">IF($B41="","",IF(ISBLANK(INDIRECT("R9.Web!D"&amp;SUM(18,38*21,22))),"",INDIRECT("R9.Web!D"&amp;SUM(18,38*21,22))))</f>
        <v>N/T</v>
      </c>
      <c r="BF41" s="215" t="str" cm="1">
        <f t="array" aca="1" ref="BF41" ca="1">IF($B41="","",IF(ISBLANK(INDIRECT("R9.Web!D"&amp;SUM(18,38*22,22))),"",INDIRECT("R9.Web!D"&amp;SUM(18,38*22,22))))</f>
        <v>N/D</v>
      </c>
      <c r="BG41" s="215" t="str" cm="1">
        <f t="array" aca="1" ref="BG41" ca="1">IF($B41="","",IF(ISBLANK(INDIRECT("R9.Web!D"&amp;SUM(18,38*23,22))),"",INDIRECT("R9.Web!D"&amp;SUM(18,38*23,22))))</f>
        <v>N/D</v>
      </c>
      <c r="BH41" s="215" t="str" cm="1">
        <f t="array" aca="1" ref="BH41" ca="1">IF($B41="","",IF(ISBLANK(INDIRECT("R9.Web!D"&amp;SUM(18,38*24,22))),"",INDIRECT("R9.Web!D"&amp;SUM(18,38*24,22))))</f>
        <v>N/T</v>
      </c>
      <c r="BI41" s="215" t="str" cm="1">
        <f t="array" aca="1" ref="BI41" ca="1">IF($B41="","",IF(ISBLANK(INDIRECT("R9.Web!D"&amp;SUM(18,38*25,22))),"",INDIRECT("R9.Web!D"&amp;SUM(18,38*25,22))))</f>
        <v>N/D</v>
      </c>
      <c r="BJ41" s="215" t="str" cm="1">
        <f t="array" aca="1" ref="BJ41" ca="1">IF($B41="","",IF(ISBLANK(INDIRECT("R9.Web!D"&amp;SUM(18,38*26,22))),"",INDIRECT("R9.Web!D"&amp;SUM(18,38*26,22))))</f>
        <v>N/D</v>
      </c>
      <c r="BK41" s="215" t="str" cm="1">
        <f t="array" aca="1" ref="BK41" ca="1">IF($B41="","",IF(ISBLANK(INDIRECT("R9.Web!D"&amp;SUM(18,38*27,22))),"",INDIRECT("R9.Web!D"&amp;SUM(18,38*27,22))))</f>
        <v>N/D</v>
      </c>
      <c r="BL41" s="215" t="str" cm="1">
        <f t="array" aca="1" ref="BL41" ca="1">IF($B41="","",IF(ISBLANK(INDIRECT("R9.Web!D"&amp;SUM(18,38*28,22))),"",INDIRECT("R9.Web!D"&amp;SUM(18,38*28,22))))</f>
        <v>Falla</v>
      </c>
      <c r="BM41" s="215" t="str" cm="1">
        <f t="array" aca="1" ref="BM41" ca="1">IF($B41="","",IF(ISBLANK(INDIRECT("R9.Web!D"&amp;SUM(18,38*29,22))),"",INDIRECT("R9.Web!D"&amp;SUM(18,38*29,22))))</f>
        <v>N/D</v>
      </c>
      <c r="BN41" s="215" t="str" cm="1">
        <f t="array" aca="1" ref="BN41" ca="1">IF($B41="","",IF(ISBLANK(INDIRECT("R9.Web!D"&amp;SUM(18,38*30,22))),"",INDIRECT("R9.Web!D"&amp;SUM(18,38*30,22))))</f>
        <v>N/T</v>
      </c>
      <c r="BO41" s="215" t="str" cm="1">
        <f t="array" aca="1" ref="BO41" ca="1">IF($B41="","",IF(ISBLANK(INDIRECT("R9.Web!D"&amp;SUM(18,38*31,22))),"",INDIRECT("R9.Web!D"&amp;SUM(18,38*31,22))))</f>
        <v>N/D</v>
      </c>
      <c r="BP41" s="215" t="str" cm="1">
        <f t="array" aca="1" ref="BP41" ca="1">IF($B41="","",IF(ISBLANK(INDIRECT("R9.Web!D"&amp;SUM(18,38*32,22))),"",INDIRECT("R9.Web!D"&amp;SUM(18,38*32,22))))</f>
        <v>N/T</v>
      </c>
      <c r="BQ41" s="215" t="str" cm="1">
        <f t="array" aca="1" ref="BQ41" ca="1">IF($B41="","",IF(ISBLANK(INDIRECT("R9.Web!D"&amp;SUM(18,38*33,22))),"",INDIRECT("R9.Web!D"&amp;SUM(18,38*33,22))))</f>
        <v>N/T</v>
      </c>
      <c r="BR41" s="215" t="str" cm="1">
        <f t="array" aca="1" ref="BR41" ca="1">IF($B41="","",IF(ISBLANK(INDIRECT("R9.Web!D"&amp;SUM(18,38*34,22))),"",INDIRECT("R9.Web!D"&amp;SUM(18,38*34,22))))</f>
        <v>N/D</v>
      </c>
      <c r="BS41" s="215" t="str" cm="1">
        <f t="array" aca="1" ref="BS41" ca="1">IF($B41="","",IF(ISBLANK(INDIRECT("R9.Web!D"&amp;SUM(18,38*35,22))),"",INDIRECT("R9.Web!D"&amp;SUM(18,38*35,22))))</f>
        <v>N/T</v>
      </c>
      <c r="BT41" s="215" t="str" cm="1">
        <f t="array" aca="1" ref="BT41" ca="1">IF($B41="","",IF(ISBLANK(INDIRECT("R9.Web!D"&amp;SUM(18,38*36,22))),"",INDIRECT("R9.Web!D"&amp;SUM(18,38*36,22))))</f>
        <v>N/D</v>
      </c>
      <c r="BU41" s="215" t="str" cm="1">
        <f t="array" aca="1" ref="BU41" ca="1">IF($B41="","",IF(ISBLANK(INDIRECT("R9.Web!D"&amp;SUM(18,38*37,22))),"",INDIRECT("R9.Web!D"&amp;SUM(18,38*37,22))))</f>
        <v>N/D</v>
      </c>
      <c r="BV41" s="215" t="str" cm="1">
        <f t="array" aca="1" ref="BV41" ca="1">IF($B41="","",IF(ISBLANK(INDIRECT("R9.Web!D"&amp;SUM(18,38*38,22))),"",INDIRECT("R9.Web!D"&amp;SUM(18,38*38,22))))</f>
        <v>N/D</v>
      </c>
      <c r="BW41" s="215" t="str" cm="1">
        <f t="array" aca="1" ref="BW41" ca="1">IF($B41="","",IF(ISBLANK(INDIRECT("R9.Web!D"&amp;SUM(18,38*39,22))),"",INDIRECT("R9.Web!D"&amp;SUM(18,38*39,22))))</f>
        <v>N/D</v>
      </c>
      <c r="BX41" s="215" t="str" cm="1">
        <f t="array" aca="1" ref="BX41" ca="1">IF($B41="","",IF(ISBLANK(INDIRECT("R9.Web!D"&amp;SUM(18,38*40,22))),"",INDIRECT("R9.Web!D"&amp;SUM(18,38*40,22))))</f>
        <v>N/D</v>
      </c>
      <c r="BY41" s="215" t="str" cm="1">
        <f t="array" aca="1" ref="BY41" ca="1">IF($B41="","",IF(ISBLANK(INDIRECT("R9.Web!D"&amp;SUM(18,38*41,22))),"",INDIRECT("R9.Web!D"&amp;SUM(18,38*41,22))))</f>
        <v>N/T</v>
      </c>
      <c r="BZ41" s="215" t="str" cm="1">
        <f t="array" aca="1" ref="BZ41" ca="1">IF($B41="","",IF(ISBLANK(INDIRECT("R9.Web!D"&amp;SUM(18,38*42,22))),"",INDIRECT("R9.Web!D"&amp;SUM(18,38*42,22))))</f>
        <v>N/T</v>
      </c>
      <c r="CA41" s="215" t="str" cm="1">
        <f t="array" aca="1" ref="CA41" ca="1">IF($B41="","",IF(ISBLANK(INDIRECT("R9.Web!D"&amp;SUM(18,38*43,22))),"",INDIRECT("R9.Web!D"&amp;SUM(18,38*43,22))))</f>
        <v>N/D</v>
      </c>
      <c r="CB41" s="215" t="str" cm="1">
        <f t="array" aca="1" ref="CB41" ca="1">IF($B41="","",IF(ISBLANK(INDIRECT("R9.Web!D"&amp;SUM(18,38*44,22))),"",INDIRECT("R9.Web!D"&amp;SUM(18,38*44,22))))</f>
        <v>N/T</v>
      </c>
      <c r="CC41" s="215" t="str" cm="1">
        <f t="array" aca="1" ref="CC41" ca="1">IF($B41="","",IF(ISBLANK(INDIRECT("R9.Web!D"&amp;SUM(18,38*45,22))),"",INDIRECT("R9.Web!D"&amp;SUM(18,38*45,22))))</f>
        <v>N/T</v>
      </c>
      <c r="CD41" s="215" t="str" cm="1">
        <f t="array" aca="1" ref="CD41" ca="1">IF($B41="","",IF(ISBLANK(INDIRECT("R9.Web!D"&amp;SUM(18,38*46,22))),"",INDIRECT("R9.Web!D"&amp;SUM(18,38*46,22))))</f>
        <v>N/T</v>
      </c>
      <c r="CE41" s="215" t="str" cm="1">
        <f t="array" aca="1" ref="CE41" ca="1">IF($B41="","",IF(ISBLANK(INDIRECT("R9.Web!D"&amp;SUM(18,38*47,22))),"",INDIRECT("R9.Web!D"&amp;SUM(18,38*47,22))))</f>
        <v>N/D</v>
      </c>
      <c r="CF41" s="215" t="str" cm="1">
        <f t="array" aca="1" ref="CF41" ca="1">IF($B41="","",IF(ISBLANK(INDIRECT("R9.Web!D"&amp;SUM(18,38*48,22))),"",INDIRECT("R9.Web!D"&amp;SUM(18,38*48,22))))</f>
        <v>N/T</v>
      </c>
      <c r="CG41" s="215" t="str" cm="1">
        <f t="array" aca="1" ref="CG41" ca="1">IF($B41="","",IF(ISBLANK(INDIRECT("R9.Web!D"&amp;SUM(18,38*49,22))),"",INDIRECT("R9.Web!D"&amp;SUM(18,38*49,22))))</f>
        <v>N/T</v>
      </c>
      <c r="CH41" s="215" t="str" cm="1">
        <f t="array" aca="1" ref="CH41" ca="1">IF($B41="","",IF(ISBLANK(INDIRECT("R11.Software!D"&amp;SUM(18,38*0,22))),"",INDIRECT("R11.Software!D"&amp;SUM(18,38*0,22))))</f>
        <v>N/T</v>
      </c>
      <c r="CI41" s="215" t="str" cm="1">
        <f t="array" aca="1" ref="CI41" ca="1">IF($B41="","",IF(ISBLANK(INDIRECT("R11.Software!D"&amp;SUM(18,38*1,22))),"",INDIRECT("R11.Software!D"&amp;SUM(18,38*1,22))))</f>
        <v>N/T</v>
      </c>
      <c r="CJ41" s="215" t="str" cm="1">
        <f t="array" aca="1" ref="CJ41" ca="1">IF($B41="","",IF(ISBLANK(INDIRECT("R11.Software!D"&amp;SUM(18,38*2,22))),"",INDIRECT("R11.Software!D"&amp;SUM(18,38*2,22))))</f>
        <v>N/T</v>
      </c>
      <c r="CK41" s="215" t="str" cm="1">
        <f t="array" aca="1" ref="CK41" ca="1">IF($B41="","",IF(ISBLANK(INDIRECT("R11.Software!D"&amp;SUM(18,38*3,22))),"",INDIRECT("R11.Software!D"&amp;SUM(18,38*3,22))))</f>
        <v>N/T</v>
      </c>
      <c r="CL41" s="215" t="str" cm="1">
        <f t="array" aca="1" ref="CL41" ca="1">IF($B41="","",IF(ISBLANK(INDIRECT("R11.Software!D"&amp;SUM(18,38*4,22))),"",INDIRECT("R11.Software!D"&amp;SUM(18,38*4,22))))</f>
        <v>N/T</v>
      </c>
      <c r="CM41" s="215" t="str" cm="1">
        <f t="array" aca="1" ref="CM41" ca="1">IF($B41="","",IF(ISBLANK(INDIRECT("R11.Software!D"&amp;SUM(18,38*5,22))),"",INDIRECT("R11.Software!D"&amp;SUM(18,38*5,22))))</f>
        <v>N/T</v>
      </c>
      <c r="CN41" s="215" t="str" cm="1">
        <f t="array" aca="1" ref="CN41" ca="1">IF($B41="","",IF(ISBLANK(INDIRECT("R12.ServiciosApoyo!D"&amp;SUM(18,38*0,22))),"",INDIRECT("R12.ServiciosApoyo!D"&amp;SUM(18,38*0,22))))</f>
        <v>N/T</v>
      </c>
      <c r="CO41" s="215" t="str" cm="1">
        <f t="array" aca="1" ref="CO41" ca="1">IF($B41="","",IF(ISBLANK(INDIRECT("R12.ServiciosApoyo!D"&amp;SUM(18,38*1,22))),"",INDIRECT("R12.ServiciosApoyo!D"&amp;SUM(18,38*1,22))))</f>
        <v>N/T</v>
      </c>
      <c r="CP41" s="215" t="str" cm="1">
        <f t="array" aca="1" ref="CP41" ca="1">IF($B41="","",IF(ISBLANK(INDIRECT("R12.ServiciosApoyo!D"&amp;SUM(18,38*2,22))),"",INDIRECT("R12.ServiciosApoyo!D"&amp;SUM(18,38*2,22))))</f>
        <v>N/T</v>
      </c>
      <c r="CQ41" s="215" t="str" cm="1">
        <f t="array" aca="1" ref="CQ41" ca="1">IF($B41="","",IF(ISBLANK(INDIRECT("R12.ServiciosApoyo!D"&amp;SUM(18,38*3,22))),"",INDIRECT("R12.ServiciosApoyo!D"&amp;SUM(18,38*3,22))))</f>
        <v>N/T</v>
      </c>
      <c r="CR41" s="215" t="str" cm="1">
        <f t="array" aca="1" ref="CR41" ca="1">IF($B41="","",IF(ISBLANK(INDIRECT("R12.ServiciosApoyo!D"&amp;SUM(18,38*4,22))),"",INDIRECT("R12.ServiciosApoyo!D"&amp;SUM(18,38*4,22))))</f>
        <v>N/T</v>
      </c>
      <c r="CU41" s="100"/>
      <c r="CV41" s="29"/>
      <c r="CW41" s="29"/>
      <c r="CX41" s="29"/>
    </row>
    <row r="42" spans="2:102" ht="20.25">
      <c r="B42" s="181" t="n" cm="1">
        <f t="array" ref="B42">IFERROR(INDEX('03.Muestra'!$B$8:$B$42,SMALL(IF("Página Web"='03.Muestra'!$D$8:$D$42,ROW('03.Muestra'!$B$8:$B$42)-MIN(ROW('03.Muestra'!$D$8:$D$42))+1,""),ROW()-19)),"")</f>
        <v>1.0</v>
      </c>
      <c r="C42" s="97" t="str" cm="1">
        <f t="array" ref="C42">IFERROR(INDEX('03.Muestra'!$C$8:$C$42,SMALL(IF("Página Web"='03.Muestra'!$D$8:$D$42,ROW('03.Muestra'!$C$8:$C$42)-MIN(ROW('03.Muestra'!$D$8:$D$42))+1,""),ROW()-19)),"")</f>
        <v>Home - PortCastelló</v>
      </c>
      <c r="D42" s="98" t="str" cm="1">
        <f t="array" ref="D42">IFERROR(INDEX('03.Muestra'!$F$8:$F$42,SMALL(IF("Página Web"='03.Muestra'!$D$8:$D$42,ROW('03.Muestra'!$F$8:$F$42)-MIN(ROW('03.Muestra'!$D$8:$D$42))+1,""),ROW()-19)),"")</f>
        <v>https://www.portcastello.com/</v>
      </c>
      <c r="E42" s="215" t="str" cm="1">
        <f t="array" aca="1" ref="E42" ca="1">IF($B42="","",IF(ISBLANK(INDIRECT("R5.Genéricos!D"&amp;SUM(18,38*0,23))),"",INDIRECT("R5.Genéricos!D"&amp;SUM(18,38*0,23))))</f>
        <v>N/T</v>
      </c>
      <c r="F42" s="215" t="str" cm="1">
        <f t="array" aca="1" ref="F42" ca="1">IF($B42="","",IF(ISBLANK(INDIRECT("R5.Genéricos!D"&amp;SUM(18,38*1,23))),"",INDIRECT("R5.Genéricos!D"&amp;SUM(18,38*1,23))))</f>
        <v>N/T</v>
      </c>
      <c r="G42" s="215" t="str" cm="1">
        <f t="array" aca="1" ref="G42" ca="1">IF($B42="","",IF(ISBLANK(INDIRECT("R5.Genéricos!D"&amp;SUM(18,38*2,23))),"",INDIRECT("R5.Genéricos!D"&amp;SUM(18,38*2,23))))</f>
        <v>N/T</v>
      </c>
      <c r="H42" s="215" t="str" cm="1">
        <f t="array" aca="1" ref="H42" ca="1">IF($B42="","",IF(ISBLANK(INDIRECT("R6.Voz!D"&amp;SUM(18,38*0,23))),"",INDIRECT("R6.Voz!D"&amp;SUM(18,38*0,23))))</f>
        <v>N/T</v>
      </c>
      <c r="I42" s="215" t="str" cm="1">
        <f t="array" aca="1" ref="I42" ca="1">IF($B42="","",IF(ISBLANK(INDIRECT("R6.Voz!D"&amp;SUM(18,38*1,23))),"",INDIRECT("R6.Voz!D"&amp;SUM(18,38*1,23))))</f>
        <v>N/T</v>
      </c>
      <c r="J42" s="215" t="str" cm="1">
        <f t="array" aca="1" ref="J42" ca="1">IF($B42="","",IF(ISBLANK(INDIRECT("R6.Voz!D"&amp;SUM(18,38*2,23))),"",INDIRECT("R6.Voz!D"&amp;SUM(18,38*2,23))))</f>
        <v>N/T</v>
      </c>
      <c r="K42" s="215" t="str" cm="1">
        <f t="array" aca="1" ref="K42" ca="1">IF($B42="","",IF(ISBLANK(INDIRECT("R6.Voz!D"&amp;SUM(18,38*3,23))),"",INDIRECT("R6.Voz!D"&amp;SUM(18,38*3,23))))</f>
        <v>N/T</v>
      </c>
      <c r="L42" s="215" t="str" cm="1">
        <f t="array" aca="1" ref="L42" ca="1">IF($B42="","",IF(ISBLANK(INDIRECT("R6.Voz!D"&amp;SUM(18,38*4,23))),"",INDIRECT("R6.Voz!D"&amp;SUM(18,38*4,23))))</f>
        <v>N/T</v>
      </c>
      <c r="M42" s="215" t="str" cm="1">
        <f t="array" aca="1" ref="M42" ca="1">IF($B42="","",IF(ISBLANK(INDIRECT("R6.Voz!D"&amp;SUM(18,38*5,23))),"",INDIRECT("R6.Voz!D"&amp;SUM(18,38*5,23))))</f>
        <v>N/T</v>
      </c>
      <c r="N42" s="215" t="str" cm="1">
        <f t="array" aca="1" ref="N42" ca="1">IF($B42="","",IF(ISBLANK(INDIRECT("R6.Voz!D"&amp;SUM(18,38*6,23))),"",INDIRECT("R6.Voz!D"&amp;SUM(18,38*6,23))))</f>
        <v>N/T</v>
      </c>
      <c r="O42" s="215" t="str" cm="1">
        <f t="array" aca="1" ref="O42" ca="1">IF($B42="","",IF(ISBLANK(INDIRECT("R6.Voz!D"&amp;SUM(18,38*7,23))),"",INDIRECT("R6.Voz!D"&amp;SUM(18,38*7,23))))</f>
        <v>N/T</v>
      </c>
      <c r="P42" s="215" t="str" cm="1">
        <f t="array" aca="1" ref="P42" ca="1">IF($B42="","",IF(ISBLANK(INDIRECT("R6.Voz!D"&amp;SUM(18,38*8,23))),"",INDIRECT("R6.Voz!D"&amp;SUM(18,38*8,23))))</f>
        <v>N/T</v>
      </c>
      <c r="Q42" s="215" t="str" cm="1">
        <f t="array" aca="1" ref="Q42" ca="1">IF($B42="","",IF(ISBLANK(INDIRECT("R6.Voz!D"&amp;SUM(18,38*9,23))),"",INDIRECT("R6.Voz!D"&amp;SUM(18,38*9,23))))</f>
        <v>N/T</v>
      </c>
      <c r="R42" s="215" t="str" cm="1">
        <f t="array" aca="1" ref="R42" ca="1">IF($B42="","",IF(ISBLANK(INDIRECT("R6.Voz!D"&amp;SUM(18,38*10,23))),"",INDIRECT("R6.Voz!D"&amp;SUM(18,38*10,23))))</f>
        <v>N/T</v>
      </c>
      <c r="S42" s="215" t="str" cm="1">
        <f t="array" aca="1" ref="S42" ca="1">IF($B42="","",IF(ISBLANK(INDIRECT("R6.Voz!D"&amp;SUM(18,38*11,23))),"",INDIRECT("R6.Voz!D"&amp;SUM(18,38*11,23))))</f>
        <v>N/T</v>
      </c>
      <c r="T42" s="215" t="str" cm="1">
        <f t="array" aca="1" ref="T42" ca="1">IF($B42="","",IF(ISBLANK(INDIRECT("R6.Voz!D"&amp;SUM(18,38*12,23))),"",INDIRECT("R6.Voz!D"&amp;SUM(18,38*12,23))))</f>
        <v>N/T</v>
      </c>
      <c r="U42" s="215" t="str" cm="1">
        <f t="array" aca="1" ref="U42" ca="1">IF($B42="","",IF(ISBLANK(INDIRECT("R6.Voz!D"&amp;SUM(18,38*13,23))),"",INDIRECT("R6.Voz!D"&amp;SUM(18,38*13,23))))</f>
        <v>N/T</v>
      </c>
      <c r="V42" s="215" t="str" cm="1">
        <f t="array" aca="1" ref="V42" ca="1">IF($B42="","",IF(ISBLANK(INDIRECT("R6.Voz!D"&amp;SUM(18,38*14,23))),"",INDIRECT("R6.Voz!D"&amp;SUM(18,38*14,23))))</f>
        <v>N/T</v>
      </c>
      <c r="W42" s="215" t="str" cm="1">
        <f t="array" aca="1" ref="W42" ca="1">IF($B42="","",IF(ISBLANK(INDIRECT("R6.Voz!D"&amp;SUM(18,38*15,23))),"",INDIRECT("R6.Voz!D"&amp;SUM(18,38*15,23))))</f>
        <v>N/T</v>
      </c>
      <c r="X42" s="215" t="str" cm="1">
        <f t="array" aca="1" ref="X42" ca="1">IF($B42="","",IF(ISBLANK(INDIRECT("R6.Voz!D"&amp;SUM(18,38*16,23))),"",INDIRECT("R6.Voz!D"&amp;SUM(18,38*16,23))))</f>
        <v>N/T</v>
      </c>
      <c r="Y42" s="215" t="str" cm="1">
        <f t="array" aca="1" ref="Y42" ca="1">IF($B42="","",IF(ISBLANK(INDIRECT("R6.Voz!D"&amp;SUM(18,38*17,23))),"",INDIRECT("R6.Voz!D"&amp;SUM(18,38*17,23))))</f>
        <v>N/T</v>
      </c>
      <c r="Z42" s="215" t="str" cm="1">
        <f t="array" aca="1" ref="Z42" ca="1">IF($B42="","",IF(ISBLANK(INDIRECT("R6.Voz!D"&amp;SUM(18,38*18,23))),"",INDIRECT("R6.Voz!D"&amp;SUM(18,38*18,23))))</f>
        <v>N/T</v>
      </c>
      <c r="AA42" s="215" t="str" cm="1">
        <f t="array" aca="1" ref="AA42" ca="1">IF($B42="","",IF(ISBLANK(INDIRECT("R7.Video!D"&amp;SUM(18,38*0,23))),"",INDIRECT("R7.Video!D"&amp;SUM(18,38*0,23))))</f>
        <v>N/T</v>
      </c>
      <c r="AB42" s="215" t="str" cm="1">
        <f t="array" aca="1" ref="AB42" ca="1">IF($B42="","",IF(ISBLANK(INDIRECT("R7.Video!D"&amp;SUM(18,38*1,23))),"",INDIRECT("R7.Video!D"&amp;SUM(18,38*1,23))))</f>
        <v>N/T</v>
      </c>
      <c r="AC42" s="215" t="str" cm="1">
        <f t="array" aca="1" ref="AC42" ca="1">IF($B42="","",IF(ISBLANK(INDIRECT("R7.Video!D"&amp;SUM(18,38*2,23))),"",INDIRECT("R7.Video!D"&amp;SUM(18,38*2,23))))</f>
        <v>N/T</v>
      </c>
      <c r="AD42" s="215" t="str" cm="1">
        <f t="array" aca="1" ref="AD42" ca="1">IF($B42="","",IF(ISBLANK(INDIRECT("R7.Video!D"&amp;SUM(18,38*3,23))),"",INDIRECT("R7.Video!D"&amp;SUM(18,38*3,23))))</f>
        <v>N/T</v>
      </c>
      <c r="AE42" s="215" t="str" cm="1">
        <f t="array" aca="1" ref="AE42" ca="1">IF($B42="","",IF(ISBLANK(INDIRECT("R7.Video!D"&amp;SUM(18,38*4,23))),"",INDIRECT("R7.Video!D"&amp;SUM(18,38*4,23))))</f>
        <v>N/T</v>
      </c>
      <c r="AF42" s="215" t="str" cm="1">
        <f t="array" aca="1" ref="AF42" ca="1">IF($B42="","",IF(ISBLANK(INDIRECT("R7.Video!D"&amp;SUM(18,38*5,23))),"",INDIRECT("R7.Video!D"&amp;SUM(18,38*5,23))))</f>
        <v>N/T</v>
      </c>
      <c r="AG42" s="215" t="str" cm="1">
        <f t="array" aca="1" ref="AG42" ca="1">IF($B42="","",IF(ISBLANK(INDIRECT("R7.Video!D"&amp;SUM(18,38*6,23))),"",INDIRECT("R7.Video!D"&amp;SUM(18,38*6,23))))</f>
        <v>N/T</v>
      </c>
      <c r="AH42" s="215" t="str" cm="1">
        <f t="array" aca="1" ref="AH42" ca="1">IF($B42="","",IF(ISBLANK(INDIRECT("R7.Video!D"&amp;SUM(18,38*7,23))),"",INDIRECT("R7.Video!D"&amp;SUM(18,38*7,23))))</f>
        <v>N/T</v>
      </c>
      <c r="AI42" s="215" t="str" cm="1">
        <f t="array" aca="1" ref="AI42" ca="1">IF($B42="","",IF(ISBLANK(INDIRECT("R7.Video!D"&amp;SUM(18,38*8,23))),"",INDIRECT("R7.Video!D"&amp;SUM(18,38*8,23))))</f>
        <v>N/T</v>
      </c>
      <c r="AJ42" s="215" t="str" cm="1">
        <f t="array" aca="1" ref="AJ42" ca="1">IF($B42="","",IF(ISBLANK(INDIRECT("R9.Web!D"&amp;SUM(18,38*0,23))),"",INDIRECT("R9.Web!D"&amp;SUM(18,38*0,23))))</f>
        <v>N/D</v>
      </c>
      <c r="AK42" s="215" t="str" cm="1">
        <f t="array" aca="1" ref="AK42" ca="1">IF($B42="","",IF(ISBLANK(INDIRECT("R9.Web!D"&amp;SUM(18,38*1,23))),"",INDIRECT("R9.Web!D"&amp;SUM(18,38*1,23))))</f>
        <v>N/T</v>
      </c>
      <c r="AL42" s="215" t="str" cm="1">
        <f t="array" aca="1" ref="AL42" ca="1">IF($B42="","",IF(ISBLANK(INDIRECT("R9.Web!D"&amp;SUM(18,38*2,23))),"",INDIRECT("R9.Web!D"&amp;SUM(18,38*2,23))))</f>
        <v>N/T</v>
      </c>
      <c r="AM42" s="215" t="str" cm="1">
        <f t="array" aca="1" ref="AM42" ca="1">IF($B42="","",IF(ISBLANK(INDIRECT("R9.Web!D"&amp;SUM(18,38*3,23))),"",INDIRECT("R9.Web!D"&amp;SUM(18,38*3,23))))</f>
        <v>N/T</v>
      </c>
      <c r="AN42" s="215" t="str" cm="1">
        <f t="array" aca="1" ref="AN42" ca="1">IF($B42="","",IF(ISBLANK(INDIRECT("R9.Web!D"&amp;SUM(18,38*4,23))),"",INDIRECT("R9.Web!D"&amp;SUM(18,38*4,23))))</f>
        <v>N/T</v>
      </c>
      <c r="AO42" s="215" t="str" cm="1">
        <f t="array" aca="1" ref="AO42" ca="1">IF($B42="","",IF(ISBLANK(INDIRECT("R9.Web!D"&amp;SUM(18,38*5,23))),"",INDIRECT("R9.Web!D"&amp;SUM(18,38*5,23))))</f>
        <v>N/D</v>
      </c>
      <c r="AP42" s="215" t="str" cm="1">
        <f t="array" aca="1" ref="AP42" ca="1">IF($B42="","",IF(ISBLANK(INDIRECT("R9.Web!D"&amp;SUM(18,38*6,23))),"",INDIRECT("R9.Web!D"&amp;SUM(18,38*6,23))))</f>
        <v>N/T</v>
      </c>
      <c r="AQ42" s="215" t="str" cm="1">
        <f t="array" aca="1" ref="AQ42" ca="1">IF($B42="","",IF(ISBLANK(INDIRECT("R9.Web!D"&amp;SUM(18,38*7,23))),"",INDIRECT("R9.Web!D"&amp;SUM(18,38*7,23))))</f>
        <v>N/T</v>
      </c>
      <c r="AR42" s="215" t="str" cm="1">
        <f t="array" aca="1" ref="AR42" ca="1">IF($B42="","",IF(ISBLANK(INDIRECT("R9.Web!D"&amp;SUM(18,38*8,23))),"",INDIRECT("R9.Web!D"&amp;SUM(18,38*8,23))))</f>
        <v>N/D</v>
      </c>
      <c r="AS42" s="215" t="str" cm="1">
        <f t="array" aca="1" ref="AS42" ca="1">IF($B42="","",IF(ISBLANK(INDIRECT("R9.Web!D"&amp;SUM(18,38*9,23))),"",INDIRECT("R9.Web!D"&amp;SUM(18,38*9,23))))</f>
        <v>N/D</v>
      </c>
      <c r="AT42" s="215" t="str" cm="1">
        <f t="array" aca="1" ref="AT42" ca="1">IF($B42="","",IF(ISBLANK(INDIRECT("R9.Web!D"&amp;SUM(18,38*10,23))),"",INDIRECT("R9.Web!D"&amp;SUM(18,38*10,23))))</f>
        <v>N/T</v>
      </c>
      <c r="AU42" s="215" t="str" cm="1">
        <f t="array" aca="1" ref="AU42" ca="1">IF($B42="","",IF(ISBLANK(INDIRECT("R9.Web!D"&amp;SUM(18,38*11,23))),"",INDIRECT("R9.Web!D"&amp;SUM(18,38*11,23))))</f>
        <v>N/T</v>
      </c>
      <c r="AV42" s="215" t="str" cm="1">
        <f t="array" aca="1" ref="AV42" ca="1">IF($B42="","",IF(ISBLANK(INDIRECT("R9.Web!D"&amp;SUM(18,38*12,23))),"",INDIRECT("R9.Web!D"&amp;SUM(18,38*12,23))))</f>
        <v>N/D</v>
      </c>
      <c r="AW42" s="215" t="str" cm="1">
        <f t="array" aca="1" ref="AW42" ca="1">IF($B42="","",IF(ISBLANK(INDIRECT("R9.Web!D"&amp;SUM(18,38*13,23))),"",INDIRECT("R9.Web!D"&amp;SUM(18,38*13,23))))</f>
        <v>N/T</v>
      </c>
      <c r="AX42" s="215" t="str" cm="1">
        <f t="array" aca="1" ref="AX42" ca="1">IF($B42="","",IF(ISBLANK(INDIRECT("R9.Web!D"&amp;SUM(18,38*14,23))),"",INDIRECT("R9.Web!D"&amp;SUM(18,38*14,23))))</f>
        <v>N/T</v>
      </c>
      <c r="AY42" s="215" t="str" cm="1">
        <f t="array" aca="1" ref="AY42" ca="1">IF($B42="","",IF(ISBLANK(INDIRECT("R9.Web!D"&amp;SUM(18,38*15,23))),"",INDIRECT("R9.Web!D"&amp;SUM(18,38*15,23))))</f>
        <v>N/D</v>
      </c>
      <c r="AZ42" s="215" t="str" cm="1">
        <f t="array" aca="1" ref="AZ42" ca="1">IF($B42="","",IF(ISBLANK(INDIRECT("R9.Web!D"&amp;SUM(18,38*16,23))),"",INDIRECT("R9.Web!D"&amp;SUM(18,38*16,23))))</f>
        <v>N/T</v>
      </c>
      <c r="BA42" s="215" t="str" cm="1">
        <f t="array" aca="1" ref="BA42" ca="1">IF($B42="","",IF(ISBLANK(INDIRECT("R9.Web!D"&amp;SUM(18,38*17,23))),"",INDIRECT("R9.Web!D"&amp;SUM(18,38*17,23))))</f>
        <v>N/D</v>
      </c>
      <c r="BB42" s="215" t="str" cm="1">
        <f t="array" aca="1" ref="BB42" ca="1">IF($B42="","",IF(ISBLANK(INDIRECT("R9.Web!D"&amp;SUM(18,38*18,23))),"",INDIRECT("R9.Web!D"&amp;SUM(18,38*18,23))))</f>
        <v>N/T</v>
      </c>
      <c r="BC42" s="215" t="str" cm="1">
        <f t="array" aca="1" ref="BC42" ca="1">IF($B42="","",IF(ISBLANK(INDIRECT("R9.Web!D"&amp;SUM(18,38*19,23))),"",INDIRECT("R9.Web!D"&amp;SUM(18,38*19,23))))</f>
        <v>N/D</v>
      </c>
      <c r="BD42" s="215" t="str" cm="1">
        <f t="array" aca="1" ref="BD42" ca="1">IF($B42="","",IF(ISBLANK(INDIRECT("R9.Web!D"&amp;SUM(18,38*20,23))),"",INDIRECT("R9.Web!D"&amp;SUM(18,38*20,23))))</f>
        <v>N/T</v>
      </c>
      <c r="BE42" s="215" t="str" cm="1">
        <f t="array" aca="1" ref="BE42" ca="1">IF($B42="","",IF(ISBLANK(INDIRECT("R9.Web!D"&amp;SUM(18,38*21,23))),"",INDIRECT("R9.Web!D"&amp;SUM(18,38*21,23))))</f>
        <v>N/T</v>
      </c>
      <c r="BF42" s="215" t="str" cm="1">
        <f t="array" aca="1" ref="BF42" ca="1">IF($B42="","",IF(ISBLANK(INDIRECT("R9.Web!D"&amp;SUM(18,38*22,23))),"",INDIRECT("R9.Web!D"&amp;SUM(18,38*22,23))))</f>
        <v>N/D</v>
      </c>
      <c r="BG42" s="215" t="str" cm="1">
        <f t="array" aca="1" ref="BG42" ca="1">IF($B42="","",IF(ISBLANK(INDIRECT("R9.Web!D"&amp;SUM(18,38*23,23))),"",INDIRECT("R9.Web!D"&amp;SUM(18,38*23,23))))</f>
        <v>N/D</v>
      </c>
      <c r="BH42" s="215" t="str" cm="1">
        <f t="array" aca="1" ref="BH42" ca="1">IF($B42="","",IF(ISBLANK(INDIRECT("R9.Web!D"&amp;SUM(18,38*24,23))),"",INDIRECT("R9.Web!D"&amp;SUM(18,38*24,23))))</f>
        <v>N/T</v>
      </c>
      <c r="BI42" s="215" t="str" cm="1">
        <f t="array" aca="1" ref="BI42" ca="1">IF($B42="","",IF(ISBLANK(INDIRECT("R9.Web!D"&amp;SUM(18,38*25,23))),"",INDIRECT("R9.Web!D"&amp;SUM(18,38*25,23))))</f>
        <v>N/D</v>
      </c>
      <c r="BJ42" s="215" t="str" cm="1">
        <f t="array" aca="1" ref="BJ42" ca="1">IF($B42="","",IF(ISBLANK(INDIRECT("R9.Web!D"&amp;SUM(18,38*26,23))),"",INDIRECT("R9.Web!D"&amp;SUM(18,38*26,23))))</f>
        <v>N/D</v>
      </c>
      <c r="BK42" s="215" t="str" cm="1">
        <f t="array" aca="1" ref="BK42" ca="1">IF($B42="","",IF(ISBLANK(INDIRECT("R9.Web!D"&amp;SUM(18,38*27,23))),"",INDIRECT("R9.Web!D"&amp;SUM(18,38*27,23))))</f>
        <v>N/D</v>
      </c>
      <c r="BL42" s="215" t="str" cm="1">
        <f t="array" aca="1" ref="BL42" ca="1">IF($B42="","",IF(ISBLANK(INDIRECT("R9.Web!D"&amp;SUM(18,38*28,23))),"",INDIRECT("R9.Web!D"&amp;SUM(18,38*28,23))))</f>
        <v>N/D</v>
      </c>
      <c r="BM42" s="215" t="str" cm="1">
        <f t="array" aca="1" ref="BM42" ca="1">IF($B42="","",IF(ISBLANK(INDIRECT("R9.Web!D"&amp;SUM(18,38*29,23))),"",INDIRECT("R9.Web!D"&amp;SUM(18,38*29,23))))</f>
        <v>N/D</v>
      </c>
      <c r="BN42" s="215" t="str" cm="1">
        <f t="array" aca="1" ref="BN42" ca="1">IF($B42="","",IF(ISBLANK(INDIRECT("R9.Web!D"&amp;SUM(18,38*30,23))),"",INDIRECT("R9.Web!D"&amp;SUM(18,38*30,23))))</f>
        <v>N/T</v>
      </c>
      <c r="BO42" s="215" t="str" cm="1">
        <f t="array" aca="1" ref="BO42" ca="1">IF($B42="","",IF(ISBLANK(INDIRECT("R9.Web!D"&amp;SUM(18,38*31,23))),"",INDIRECT("R9.Web!D"&amp;SUM(18,38*31,23))))</f>
        <v>N/D</v>
      </c>
      <c r="BP42" s="215" t="str" cm="1">
        <f t="array" aca="1" ref="BP42" ca="1">IF($B42="","",IF(ISBLANK(INDIRECT("R9.Web!D"&amp;SUM(18,38*32,23))),"",INDIRECT("R9.Web!D"&amp;SUM(18,38*32,23))))</f>
        <v>N/T</v>
      </c>
      <c r="BQ42" s="215" t="str" cm="1">
        <f t="array" aca="1" ref="BQ42" ca="1">IF($B42="","",IF(ISBLANK(INDIRECT("R9.Web!D"&amp;SUM(18,38*33,23))),"",INDIRECT("R9.Web!D"&amp;SUM(18,38*33,23))))</f>
        <v>N/T</v>
      </c>
      <c r="BR42" s="215" t="str" cm="1">
        <f t="array" aca="1" ref="BR42" ca="1">IF($B42="","",IF(ISBLANK(INDIRECT("R9.Web!D"&amp;SUM(18,38*34,23))),"",INDIRECT("R9.Web!D"&amp;SUM(18,38*34,23))))</f>
        <v>N/D</v>
      </c>
      <c r="BS42" s="215" t="str" cm="1">
        <f t="array" aca="1" ref="BS42" ca="1">IF($B42="","",IF(ISBLANK(INDIRECT("R9.Web!D"&amp;SUM(18,38*35,23))),"",INDIRECT("R9.Web!D"&amp;SUM(18,38*35,23))))</f>
        <v>N/T</v>
      </c>
      <c r="BT42" s="215" t="str" cm="1">
        <f t="array" aca="1" ref="BT42" ca="1">IF($B42="","",IF(ISBLANK(INDIRECT("R9.Web!D"&amp;SUM(18,38*36,23))),"",INDIRECT("R9.Web!D"&amp;SUM(18,38*36,23))))</f>
        <v>N/D</v>
      </c>
      <c r="BU42" s="215" t="str" cm="1">
        <f t="array" aca="1" ref="BU42" ca="1">IF($B42="","",IF(ISBLANK(INDIRECT("R9.Web!D"&amp;SUM(18,38*37,23))),"",INDIRECT("R9.Web!D"&amp;SUM(18,38*37,23))))</f>
        <v>N/D</v>
      </c>
      <c r="BV42" s="215" t="str" cm="1">
        <f t="array" aca="1" ref="BV42" ca="1">IF($B42="","",IF(ISBLANK(INDIRECT("R9.Web!D"&amp;SUM(18,38*38,23))),"",INDIRECT("R9.Web!D"&amp;SUM(18,38*38,23))))</f>
        <v>N/D</v>
      </c>
      <c r="BW42" s="215" t="str" cm="1">
        <f t="array" aca="1" ref="BW42" ca="1">IF($B42="","",IF(ISBLANK(INDIRECT("R9.Web!D"&amp;SUM(18,38*39,23))),"",INDIRECT("R9.Web!D"&amp;SUM(18,38*39,23))))</f>
        <v>N/D</v>
      </c>
      <c r="BX42" s="215" t="str" cm="1">
        <f t="array" aca="1" ref="BX42" ca="1">IF($B42="","",IF(ISBLANK(INDIRECT("R9.Web!D"&amp;SUM(18,38*40,23))),"",INDIRECT("R9.Web!D"&amp;SUM(18,38*40,23))))</f>
        <v>N/D</v>
      </c>
      <c r="BY42" s="215" t="str" cm="1">
        <f t="array" aca="1" ref="BY42" ca="1">IF($B42="","",IF(ISBLANK(INDIRECT("R9.Web!D"&amp;SUM(18,38*41,23))),"",INDIRECT("R9.Web!D"&amp;SUM(18,38*41,23))))</f>
        <v>N/T</v>
      </c>
      <c r="BZ42" s="215" t="str" cm="1">
        <f t="array" aca="1" ref="BZ42" ca="1">IF($B42="","",IF(ISBLANK(INDIRECT("R9.Web!D"&amp;SUM(18,38*42,23))),"",INDIRECT("R9.Web!D"&amp;SUM(18,38*42,23))))</f>
        <v>N/T</v>
      </c>
      <c r="CA42" s="215" t="str" cm="1">
        <f t="array" aca="1" ref="CA42" ca="1">IF($B42="","",IF(ISBLANK(INDIRECT("R9.Web!D"&amp;SUM(18,38*43,23))),"",INDIRECT("R9.Web!D"&amp;SUM(18,38*43,23))))</f>
        <v>N/D</v>
      </c>
      <c r="CB42" s="215" t="str" cm="1">
        <f t="array" aca="1" ref="CB42" ca="1">IF($B42="","",IF(ISBLANK(INDIRECT("R9.Web!D"&amp;SUM(18,38*44,23))),"",INDIRECT("R9.Web!D"&amp;SUM(18,38*44,23))))</f>
        <v>N/T</v>
      </c>
      <c r="CC42" s="215" t="str" cm="1">
        <f t="array" aca="1" ref="CC42" ca="1">IF($B42="","",IF(ISBLANK(INDIRECT("R9.Web!D"&amp;SUM(18,38*45,23))),"",INDIRECT("R9.Web!D"&amp;SUM(18,38*45,23))))</f>
        <v>N/T</v>
      </c>
      <c r="CD42" s="215" t="str" cm="1">
        <f t="array" aca="1" ref="CD42" ca="1">IF($B42="","",IF(ISBLANK(INDIRECT("R9.Web!D"&amp;SUM(18,38*46,23))),"",INDIRECT("R9.Web!D"&amp;SUM(18,38*46,23))))</f>
        <v>N/T</v>
      </c>
      <c r="CE42" s="215" t="str" cm="1">
        <f t="array" aca="1" ref="CE42" ca="1">IF($B42="","",IF(ISBLANK(INDIRECT("R9.Web!D"&amp;SUM(18,38*47,23))),"",INDIRECT("R9.Web!D"&amp;SUM(18,38*47,23))))</f>
        <v>N/D</v>
      </c>
      <c r="CF42" s="215" t="str" cm="1">
        <f t="array" aca="1" ref="CF42" ca="1">IF($B42="","",IF(ISBLANK(INDIRECT("R9.Web!D"&amp;SUM(18,38*48,23))),"",INDIRECT("R9.Web!D"&amp;SUM(18,38*48,23))))</f>
        <v>N/T</v>
      </c>
      <c r="CG42" s="215" t="str" cm="1">
        <f t="array" aca="1" ref="CG42" ca="1">IF($B42="","",IF(ISBLANK(INDIRECT("R9.Web!D"&amp;SUM(18,38*49,23))),"",INDIRECT("R9.Web!D"&amp;SUM(18,38*49,23))))</f>
        <v>N/T</v>
      </c>
      <c r="CH42" s="215" t="str" cm="1">
        <f t="array" aca="1" ref="CH42" ca="1">IF($B42="","",IF(ISBLANK(INDIRECT("R11.Software!D"&amp;SUM(18,38*0,23))),"",INDIRECT("R11.Software!D"&amp;SUM(18,38*0,23))))</f>
        <v>N/T</v>
      </c>
      <c r="CI42" s="215" t="str" cm="1">
        <f t="array" aca="1" ref="CI42" ca="1">IF($B42="","",IF(ISBLANK(INDIRECT("R11.Software!D"&amp;SUM(18,38*1,23))),"",INDIRECT("R11.Software!D"&amp;SUM(18,38*1,23))))</f>
        <v>N/T</v>
      </c>
      <c r="CJ42" s="215" t="str" cm="1">
        <f t="array" aca="1" ref="CJ42" ca="1">IF($B42="","",IF(ISBLANK(INDIRECT("R11.Software!D"&amp;SUM(18,38*2,23))),"",INDIRECT("R11.Software!D"&amp;SUM(18,38*2,23))))</f>
        <v>N/T</v>
      </c>
      <c r="CK42" s="215" t="str" cm="1">
        <f t="array" aca="1" ref="CK42" ca="1">IF($B42="","",IF(ISBLANK(INDIRECT("R11.Software!D"&amp;SUM(18,38*3,23))),"",INDIRECT("R11.Software!D"&amp;SUM(18,38*3,23))))</f>
        <v>N/T</v>
      </c>
      <c r="CL42" s="215" t="str" cm="1">
        <f t="array" aca="1" ref="CL42" ca="1">IF($B42="","",IF(ISBLANK(INDIRECT("R11.Software!D"&amp;SUM(18,38*4,23))),"",INDIRECT("R11.Software!D"&amp;SUM(18,38*4,23))))</f>
        <v>N/T</v>
      </c>
      <c r="CM42" s="215" t="str" cm="1">
        <f t="array" aca="1" ref="CM42" ca="1">IF($B42="","",IF(ISBLANK(INDIRECT("R11.Software!D"&amp;SUM(18,38*5,23))),"",INDIRECT("R11.Software!D"&amp;SUM(18,38*5,23))))</f>
        <v>N/T</v>
      </c>
      <c r="CN42" s="215" t="str" cm="1">
        <f t="array" aca="1" ref="CN42" ca="1">IF($B42="","",IF(ISBLANK(INDIRECT("R12.ServiciosApoyo!D"&amp;SUM(18,38*0,23))),"",INDIRECT("R12.ServiciosApoyo!D"&amp;SUM(18,38*0,23))))</f>
        <v>N/T</v>
      </c>
      <c r="CO42" s="215" t="str" cm="1">
        <f t="array" aca="1" ref="CO42" ca="1">IF($B42="","",IF(ISBLANK(INDIRECT("R12.ServiciosApoyo!D"&amp;SUM(18,38*1,23))),"",INDIRECT("R12.ServiciosApoyo!D"&amp;SUM(18,38*1,23))))</f>
        <v>N/T</v>
      </c>
      <c r="CP42" s="215" t="str" cm="1">
        <f t="array" aca="1" ref="CP42" ca="1">IF($B42="","",IF(ISBLANK(INDIRECT("R12.ServiciosApoyo!D"&amp;SUM(18,38*2,23))),"",INDIRECT("R12.ServiciosApoyo!D"&amp;SUM(18,38*2,23))))</f>
        <v>N/T</v>
      </c>
      <c r="CQ42" s="215" t="str" cm="1">
        <f t="array" aca="1" ref="CQ42" ca="1">IF($B42="","",IF(ISBLANK(INDIRECT("R12.ServiciosApoyo!D"&amp;SUM(18,38*3,23))),"",INDIRECT("R12.ServiciosApoyo!D"&amp;SUM(18,38*3,23))))</f>
        <v>N/T</v>
      </c>
      <c r="CR42" s="215" t="str" cm="1">
        <f t="array" aca="1" ref="CR42" ca="1">IF($B42="","",IF(ISBLANK(INDIRECT("R12.ServiciosApoyo!D"&amp;SUM(18,38*4,23))),"",INDIRECT("R12.ServiciosApoyo!D"&amp;SUM(18,38*4,23))))</f>
        <v>N/T</v>
      </c>
      <c r="CU42" s="100"/>
      <c r="CV42" s="29"/>
      <c r="CW42" s="29"/>
      <c r="CX42" s="29"/>
    </row>
    <row r="43" spans="2:102" ht="20.25">
      <c r="B43" s="181" t="n" cm="1">
        <f t="array" ref="B43">IFERROR(INDEX('03.Muestra'!$B$8:$B$42,SMALL(IF("Página Web"='03.Muestra'!$D$8:$D$42,ROW('03.Muestra'!$B$8:$B$42)-MIN(ROW('03.Muestra'!$D$8:$D$42))+1,""),ROW()-19)),"")</f>
        <v>1.0</v>
      </c>
      <c r="C43" s="97" t="str" cm="1">
        <f t="array" ref="C43">IFERROR(INDEX('03.Muestra'!$C$8:$C$42,SMALL(IF("Página Web"='03.Muestra'!$D$8:$D$42,ROW('03.Muestra'!$C$8:$C$42)-MIN(ROW('03.Muestra'!$D$8:$D$42))+1,""),ROW()-19)),"")</f>
        <v>Home - PortCastelló</v>
      </c>
      <c r="D43" s="98" t="str" cm="1">
        <f t="array" ref="D43">IFERROR(INDEX('03.Muestra'!$F$8:$F$42,SMALL(IF("Página Web"='03.Muestra'!$D$8:$D$42,ROW('03.Muestra'!$F$8:$F$42)-MIN(ROW('03.Muestra'!$D$8:$D$42))+1,""),ROW()-19)),"")</f>
        <v>https://www.portcastello.com/</v>
      </c>
      <c r="E43" s="215" t="str" cm="1">
        <f t="array" aca="1" ref="E43" ca="1">IF($B43="","",IF(ISBLANK(INDIRECT("R5.Genéricos!D"&amp;SUM(18,38*0,24))),"",INDIRECT("R5.Genéricos!D"&amp;SUM(18,38*0,24))))</f>
        <v>N/T</v>
      </c>
      <c r="F43" s="215" t="str" cm="1">
        <f t="array" aca="1" ref="F43" ca="1">IF($B43="","",IF(ISBLANK(INDIRECT("R5.Genéricos!D"&amp;SUM(18,38*1,24))),"",INDIRECT("R5.Genéricos!D"&amp;SUM(18,38*1,24))))</f>
        <v>N/T</v>
      </c>
      <c r="G43" s="215" t="str" cm="1">
        <f t="array" aca="1" ref="G43" ca="1">IF($B43="","",IF(ISBLANK(INDIRECT("R5.Genéricos!D"&amp;SUM(18,38*2,24))),"",INDIRECT("R5.Genéricos!D"&amp;SUM(18,38*2,24))))</f>
        <v>N/T</v>
      </c>
      <c r="H43" s="215" t="str" cm="1">
        <f t="array" aca="1" ref="H43" ca="1">IF($B43="","",IF(ISBLANK(INDIRECT("R6.Voz!D"&amp;SUM(18,38*0,24))),"",INDIRECT("R6.Voz!D"&amp;SUM(18,38*0,24))))</f>
        <v>N/T</v>
      </c>
      <c r="I43" s="215" t="str" cm="1">
        <f t="array" aca="1" ref="I43" ca="1">IF($B43="","",IF(ISBLANK(INDIRECT("R6.Voz!D"&amp;SUM(18,38*1,24))),"",INDIRECT("R6.Voz!D"&amp;SUM(18,38*1,24))))</f>
        <v>N/T</v>
      </c>
      <c r="J43" s="215" t="str" cm="1">
        <f t="array" aca="1" ref="J43" ca="1">IF($B43="","",IF(ISBLANK(INDIRECT("R6.Voz!D"&amp;SUM(18,38*2,24))),"",INDIRECT("R6.Voz!D"&amp;SUM(18,38*2,24))))</f>
        <v>N/T</v>
      </c>
      <c r="K43" s="215" t="str" cm="1">
        <f t="array" aca="1" ref="K43" ca="1">IF($B43="","",IF(ISBLANK(INDIRECT("R6.Voz!D"&amp;SUM(18,38*3,24))),"",INDIRECT("R6.Voz!D"&amp;SUM(18,38*3,24))))</f>
        <v>N/T</v>
      </c>
      <c r="L43" s="215" t="str" cm="1">
        <f t="array" aca="1" ref="L43" ca="1">IF($B43="","",IF(ISBLANK(INDIRECT("R6.Voz!D"&amp;SUM(18,38*4,24))),"",INDIRECT("R6.Voz!D"&amp;SUM(18,38*4,24))))</f>
        <v>N/T</v>
      </c>
      <c r="M43" s="215" t="str" cm="1">
        <f t="array" aca="1" ref="M43" ca="1">IF($B43="","",IF(ISBLANK(INDIRECT("R6.Voz!D"&amp;SUM(18,38*5,24))),"",INDIRECT("R6.Voz!D"&amp;SUM(18,38*5,24))))</f>
        <v>N/T</v>
      </c>
      <c r="N43" s="215" t="str" cm="1">
        <f t="array" aca="1" ref="N43" ca="1">IF($B43="","",IF(ISBLANK(INDIRECT("R6.Voz!D"&amp;SUM(18,38*6,24))),"",INDIRECT("R6.Voz!D"&amp;SUM(18,38*6,24))))</f>
        <v>N/T</v>
      </c>
      <c r="O43" s="215" t="str" cm="1">
        <f t="array" aca="1" ref="O43" ca="1">IF($B43="","",IF(ISBLANK(INDIRECT("R6.Voz!D"&amp;SUM(18,38*7,24))),"",INDIRECT("R6.Voz!D"&amp;SUM(18,38*7,24))))</f>
        <v>N/T</v>
      </c>
      <c r="P43" s="215" t="str" cm="1">
        <f t="array" aca="1" ref="P43" ca="1">IF($B43="","",IF(ISBLANK(INDIRECT("R6.Voz!D"&amp;SUM(18,38*8,24))),"",INDIRECT("R6.Voz!D"&amp;SUM(18,38*8,24))))</f>
        <v>N/T</v>
      </c>
      <c r="Q43" s="215" t="str" cm="1">
        <f t="array" aca="1" ref="Q43" ca="1">IF($B43="","",IF(ISBLANK(INDIRECT("R6.Voz!D"&amp;SUM(18,38*9,24))),"",INDIRECT("R6.Voz!D"&amp;SUM(18,38*9,24))))</f>
        <v>N/T</v>
      </c>
      <c r="R43" s="215" t="str" cm="1">
        <f t="array" aca="1" ref="R43" ca="1">IF($B43="","",IF(ISBLANK(INDIRECT("R6.Voz!D"&amp;SUM(18,38*10,24))),"",INDIRECT("R6.Voz!D"&amp;SUM(18,38*10,24))))</f>
        <v>N/T</v>
      </c>
      <c r="S43" s="215" t="str" cm="1">
        <f t="array" aca="1" ref="S43" ca="1">IF($B43="","",IF(ISBLANK(INDIRECT("R6.Voz!D"&amp;SUM(18,38*11,24))),"",INDIRECT("R6.Voz!D"&amp;SUM(18,38*11,24))))</f>
        <v>N/T</v>
      </c>
      <c r="T43" s="215" t="str" cm="1">
        <f t="array" aca="1" ref="T43" ca="1">IF($B43="","",IF(ISBLANK(INDIRECT("R6.Voz!D"&amp;SUM(18,38*12,24))),"",INDIRECT("R6.Voz!D"&amp;SUM(18,38*12,24))))</f>
        <v>N/T</v>
      </c>
      <c r="U43" s="215" t="str" cm="1">
        <f t="array" aca="1" ref="U43" ca="1">IF($B43="","",IF(ISBLANK(INDIRECT("R6.Voz!D"&amp;SUM(18,38*13,24))),"",INDIRECT("R6.Voz!D"&amp;SUM(18,38*13,24))))</f>
        <v>N/T</v>
      </c>
      <c r="V43" s="215" t="str" cm="1">
        <f t="array" aca="1" ref="V43" ca="1">IF($B43="","",IF(ISBLANK(INDIRECT("R6.Voz!D"&amp;SUM(18,38*14,24))),"",INDIRECT("R6.Voz!D"&amp;SUM(18,38*14,24))))</f>
        <v>N/T</v>
      </c>
      <c r="W43" s="215" t="str" cm="1">
        <f t="array" aca="1" ref="W43" ca="1">IF($B43="","",IF(ISBLANK(INDIRECT("R6.Voz!D"&amp;SUM(18,38*15,24))),"",INDIRECT("R6.Voz!D"&amp;SUM(18,38*15,24))))</f>
        <v>N/T</v>
      </c>
      <c r="X43" s="215" t="str" cm="1">
        <f t="array" aca="1" ref="X43" ca="1">IF($B43="","",IF(ISBLANK(INDIRECT("R6.Voz!D"&amp;SUM(18,38*16,24))),"",INDIRECT("R6.Voz!D"&amp;SUM(18,38*16,24))))</f>
        <v>N/T</v>
      </c>
      <c r="Y43" s="215" t="str" cm="1">
        <f t="array" aca="1" ref="Y43" ca="1">IF($B43="","",IF(ISBLANK(INDIRECT("R6.Voz!D"&amp;SUM(18,38*17,24))),"",INDIRECT("R6.Voz!D"&amp;SUM(18,38*17,24))))</f>
        <v>N/T</v>
      </c>
      <c r="Z43" s="215" t="str" cm="1">
        <f t="array" aca="1" ref="Z43" ca="1">IF($B43="","",IF(ISBLANK(INDIRECT("R6.Voz!D"&amp;SUM(18,38*18,24))),"",INDIRECT("R6.Voz!D"&amp;SUM(18,38*18,24))))</f>
        <v>N/T</v>
      </c>
      <c r="AA43" s="215" t="str" cm="1">
        <f t="array" aca="1" ref="AA43" ca="1">IF($B43="","",IF(ISBLANK(INDIRECT("R7.Video!D"&amp;SUM(18,38*0,24))),"",INDIRECT("R7.Video!D"&amp;SUM(18,38*0,24))))</f>
        <v>N/T</v>
      </c>
      <c r="AB43" s="215" t="str" cm="1">
        <f t="array" aca="1" ref="AB43" ca="1">IF($B43="","",IF(ISBLANK(INDIRECT("R7.Video!D"&amp;SUM(18,38*1,24))),"",INDIRECT("R7.Video!D"&amp;SUM(18,38*1,24))))</f>
        <v>N/T</v>
      </c>
      <c r="AC43" s="215" t="str" cm="1">
        <f t="array" aca="1" ref="AC43" ca="1">IF($B43="","",IF(ISBLANK(INDIRECT("R7.Video!D"&amp;SUM(18,38*2,24))),"",INDIRECT("R7.Video!D"&amp;SUM(18,38*2,24))))</f>
        <v>N/T</v>
      </c>
      <c r="AD43" s="215" t="str" cm="1">
        <f t="array" aca="1" ref="AD43" ca="1">IF($B43="","",IF(ISBLANK(INDIRECT("R7.Video!D"&amp;SUM(18,38*3,24))),"",INDIRECT("R7.Video!D"&amp;SUM(18,38*3,24))))</f>
        <v>N/T</v>
      </c>
      <c r="AE43" s="215" t="str" cm="1">
        <f t="array" aca="1" ref="AE43" ca="1">IF($B43="","",IF(ISBLANK(INDIRECT("R7.Video!D"&amp;SUM(18,38*4,24))),"",INDIRECT("R7.Video!D"&amp;SUM(18,38*4,24))))</f>
        <v>N/T</v>
      </c>
      <c r="AF43" s="215" t="str" cm="1">
        <f t="array" aca="1" ref="AF43" ca="1">IF($B43="","",IF(ISBLANK(INDIRECT("R7.Video!D"&amp;SUM(18,38*5,24))),"",INDIRECT("R7.Video!D"&amp;SUM(18,38*5,24))))</f>
        <v>N/T</v>
      </c>
      <c r="AG43" s="215" t="str" cm="1">
        <f t="array" aca="1" ref="AG43" ca="1">IF($B43="","",IF(ISBLANK(INDIRECT("R7.Video!D"&amp;SUM(18,38*6,24))),"",INDIRECT("R7.Video!D"&amp;SUM(18,38*6,24))))</f>
        <v>N/T</v>
      </c>
      <c r="AH43" s="215" t="str" cm="1">
        <f t="array" aca="1" ref="AH43" ca="1">IF($B43="","",IF(ISBLANK(INDIRECT("R7.Video!D"&amp;SUM(18,38*7,24))),"",INDIRECT("R7.Video!D"&amp;SUM(18,38*7,24))))</f>
        <v>N/T</v>
      </c>
      <c r="AI43" s="215" t="str" cm="1">
        <f t="array" aca="1" ref="AI43" ca="1">IF($B43="","",IF(ISBLANK(INDIRECT("R7.Video!D"&amp;SUM(18,38*8,24))),"",INDIRECT("R7.Video!D"&amp;SUM(18,38*8,24))))</f>
        <v>N/T</v>
      </c>
      <c r="AJ43" s="215" t="str" cm="1">
        <f t="array" aca="1" ref="AJ43" ca="1">IF($B43="","",IF(ISBLANK(INDIRECT("R9.Web!D"&amp;SUM(18,38*0,24))),"",INDIRECT("R9.Web!D"&amp;SUM(18,38*0,24))))</f>
        <v>N/D</v>
      </c>
      <c r="AK43" s="215" t="str" cm="1">
        <f t="array" aca="1" ref="AK43" ca="1">IF($B43="","",IF(ISBLANK(INDIRECT("R9.Web!D"&amp;SUM(18,38*1,24))),"",INDIRECT("R9.Web!D"&amp;SUM(18,38*1,24))))</f>
        <v>N/T</v>
      </c>
      <c r="AL43" s="215" t="str" cm="1">
        <f t="array" aca="1" ref="AL43" ca="1">IF($B43="","",IF(ISBLANK(INDIRECT("R9.Web!D"&amp;SUM(18,38*2,24))),"",INDIRECT("R9.Web!D"&amp;SUM(18,38*2,24))))</f>
        <v>N/T</v>
      </c>
      <c r="AM43" s="215" t="str" cm="1">
        <f t="array" aca="1" ref="AM43" ca="1">IF($B43="","",IF(ISBLANK(INDIRECT("R9.Web!D"&amp;SUM(18,38*3,24))),"",INDIRECT("R9.Web!D"&amp;SUM(18,38*3,24))))</f>
        <v>N/T</v>
      </c>
      <c r="AN43" s="215" t="str" cm="1">
        <f t="array" aca="1" ref="AN43" ca="1">IF($B43="","",IF(ISBLANK(INDIRECT("R9.Web!D"&amp;SUM(18,38*4,24))),"",INDIRECT("R9.Web!D"&amp;SUM(18,38*4,24))))</f>
        <v>N/T</v>
      </c>
      <c r="AO43" s="215" t="str" cm="1">
        <f t="array" aca="1" ref="AO43" ca="1">IF($B43="","",IF(ISBLANK(INDIRECT("R9.Web!D"&amp;SUM(18,38*5,24))),"",INDIRECT("R9.Web!D"&amp;SUM(18,38*5,24))))</f>
        <v>N/D</v>
      </c>
      <c r="AP43" s="215" t="str" cm="1">
        <f t="array" aca="1" ref="AP43" ca="1">IF($B43="","",IF(ISBLANK(INDIRECT("R9.Web!D"&amp;SUM(18,38*6,24))),"",INDIRECT("R9.Web!D"&amp;SUM(18,38*6,24))))</f>
        <v>N/T</v>
      </c>
      <c r="AQ43" s="215" t="str" cm="1">
        <f t="array" aca="1" ref="AQ43" ca="1">IF($B43="","",IF(ISBLANK(INDIRECT("R9.Web!D"&amp;SUM(18,38*7,24))),"",INDIRECT("R9.Web!D"&amp;SUM(18,38*7,24))))</f>
        <v>N/T</v>
      </c>
      <c r="AR43" s="215" t="str" cm="1">
        <f t="array" aca="1" ref="AR43" ca="1">IF($B43="","",IF(ISBLANK(INDIRECT("R9.Web!D"&amp;SUM(18,38*8,24))),"",INDIRECT("R9.Web!D"&amp;SUM(18,38*8,24))))</f>
        <v>N/D</v>
      </c>
      <c r="AS43" s="215" t="str" cm="1">
        <f t="array" aca="1" ref="AS43" ca="1">IF($B43="","",IF(ISBLANK(INDIRECT("R9.Web!D"&amp;SUM(18,38*9,24))),"",INDIRECT("R9.Web!D"&amp;SUM(18,38*9,24))))</f>
        <v>N/D</v>
      </c>
      <c r="AT43" s="215" t="str" cm="1">
        <f t="array" aca="1" ref="AT43" ca="1">IF($B43="","",IF(ISBLANK(INDIRECT("R9.Web!D"&amp;SUM(18,38*10,24))),"",INDIRECT("R9.Web!D"&amp;SUM(18,38*10,24))))</f>
        <v>N/T</v>
      </c>
      <c r="AU43" s="215" t="str" cm="1">
        <f t="array" aca="1" ref="AU43" ca="1">IF($B43="","",IF(ISBLANK(INDIRECT("R9.Web!D"&amp;SUM(18,38*11,24))),"",INDIRECT("R9.Web!D"&amp;SUM(18,38*11,24))))</f>
        <v>N/T</v>
      </c>
      <c r="AV43" s="215" t="str" cm="1">
        <f t="array" aca="1" ref="AV43" ca="1">IF($B43="","",IF(ISBLANK(INDIRECT("R9.Web!D"&amp;SUM(18,38*12,24))),"",INDIRECT("R9.Web!D"&amp;SUM(18,38*12,24))))</f>
        <v>N/D</v>
      </c>
      <c r="AW43" s="215" t="str" cm="1">
        <f t="array" aca="1" ref="AW43" ca="1">IF($B43="","",IF(ISBLANK(INDIRECT("R9.Web!D"&amp;SUM(18,38*13,24))),"",INDIRECT("R9.Web!D"&amp;SUM(18,38*13,24))))</f>
        <v>N/T</v>
      </c>
      <c r="AX43" s="215" t="str" cm="1">
        <f t="array" aca="1" ref="AX43" ca="1">IF($B43="","",IF(ISBLANK(INDIRECT("R9.Web!D"&amp;SUM(18,38*14,24))),"",INDIRECT("R9.Web!D"&amp;SUM(18,38*14,24))))</f>
        <v>N/T</v>
      </c>
      <c r="AY43" s="215" t="str" cm="1">
        <f t="array" aca="1" ref="AY43" ca="1">IF($B43="","",IF(ISBLANK(INDIRECT("R9.Web!D"&amp;SUM(18,38*15,24))),"",INDIRECT("R9.Web!D"&amp;SUM(18,38*15,24))))</f>
        <v>N/D</v>
      </c>
      <c r="AZ43" s="215" t="str" cm="1">
        <f t="array" aca="1" ref="AZ43" ca="1">IF($B43="","",IF(ISBLANK(INDIRECT("R9.Web!D"&amp;SUM(18,38*16,24))),"",INDIRECT("R9.Web!D"&amp;SUM(18,38*16,24))))</f>
        <v>N/T</v>
      </c>
      <c r="BA43" s="215" t="str" cm="1">
        <f t="array" aca="1" ref="BA43" ca="1">IF($B43="","",IF(ISBLANK(INDIRECT("R9.Web!D"&amp;SUM(18,38*17,24))),"",INDIRECT("R9.Web!D"&amp;SUM(18,38*17,24))))</f>
        <v>N/D</v>
      </c>
      <c r="BB43" s="215" t="str" cm="1">
        <f t="array" aca="1" ref="BB43" ca="1">IF($B43="","",IF(ISBLANK(INDIRECT("R9.Web!D"&amp;SUM(18,38*18,24))),"",INDIRECT("R9.Web!D"&amp;SUM(18,38*18,24))))</f>
        <v>N/T</v>
      </c>
      <c r="BC43" s="215" t="str" cm="1">
        <f t="array" aca="1" ref="BC43" ca="1">IF($B43="","",IF(ISBLANK(INDIRECT("R9.Web!D"&amp;SUM(18,38*19,24))),"",INDIRECT("R9.Web!D"&amp;SUM(18,38*19,24))))</f>
        <v>N/D</v>
      </c>
      <c r="BD43" s="215" t="str" cm="1">
        <f t="array" aca="1" ref="BD43" ca="1">IF($B43="","",IF(ISBLANK(INDIRECT("R9.Web!D"&amp;SUM(18,38*20,24))),"",INDIRECT("R9.Web!D"&amp;SUM(18,38*20,24))))</f>
        <v>N/T</v>
      </c>
      <c r="BE43" s="215" t="str" cm="1">
        <f t="array" aca="1" ref="BE43" ca="1">IF($B43="","",IF(ISBLANK(INDIRECT("R9.Web!D"&amp;SUM(18,38*21,24))),"",INDIRECT("R9.Web!D"&amp;SUM(18,38*21,24))))</f>
        <v>N/T</v>
      </c>
      <c r="BF43" s="215" t="str" cm="1">
        <f t="array" aca="1" ref="BF43" ca="1">IF($B43="","",IF(ISBLANK(INDIRECT("R9.Web!D"&amp;SUM(18,38*22,24))),"",INDIRECT("R9.Web!D"&amp;SUM(18,38*22,24))))</f>
        <v>N/D</v>
      </c>
      <c r="BG43" s="215" t="str" cm="1">
        <f t="array" aca="1" ref="BG43" ca="1">IF($B43="","",IF(ISBLANK(INDIRECT("R9.Web!D"&amp;SUM(18,38*23,24))),"",INDIRECT("R9.Web!D"&amp;SUM(18,38*23,24))))</f>
        <v>N/D</v>
      </c>
      <c r="BH43" s="215" t="str" cm="1">
        <f t="array" aca="1" ref="BH43" ca="1">IF($B43="","",IF(ISBLANK(INDIRECT("R9.Web!D"&amp;SUM(18,38*24,24))),"",INDIRECT("R9.Web!D"&amp;SUM(18,38*24,24))))</f>
        <v>N/T</v>
      </c>
      <c r="BI43" s="215" t="str" cm="1">
        <f t="array" aca="1" ref="BI43" ca="1">IF($B43="","",IF(ISBLANK(INDIRECT("R9.Web!D"&amp;SUM(18,38*25,24))),"",INDIRECT("R9.Web!D"&amp;SUM(18,38*25,24))))</f>
        <v>N/D</v>
      </c>
      <c r="BJ43" s="215" t="str" cm="1">
        <f t="array" aca="1" ref="BJ43" ca="1">IF($B43="","",IF(ISBLANK(INDIRECT("R9.Web!D"&amp;SUM(18,38*26,24))),"",INDIRECT("R9.Web!D"&amp;SUM(18,38*26,24))))</f>
        <v>N/D</v>
      </c>
      <c r="BK43" s="215" t="str" cm="1">
        <f t="array" aca="1" ref="BK43" ca="1">IF($B43="","",IF(ISBLANK(INDIRECT("R9.Web!D"&amp;SUM(18,38*27,24))),"",INDIRECT("R9.Web!D"&amp;SUM(18,38*27,24))))</f>
        <v>N/D</v>
      </c>
      <c r="BL43" s="215" t="str" cm="1">
        <f t="array" aca="1" ref="BL43" ca="1">IF($B43="","",IF(ISBLANK(INDIRECT("R9.Web!D"&amp;SUM(18,38*28,24))),"",INDIRECT("R9.Web!D"&amp;SUM(18,38*28,24))))</f>
        <v>N/D</v>
      </c>
      <c r="BM43" s="215" t="str" cm="1">
        <f t="array" aca="1" ref="BM43" ca="1">IF($B43="","",IF(ISBLANK(INDIRECT("R9.Web!D"&amp;SUM(18,38*29,24))),"",INDIRECT("R9.Web!D"&amp;SUM(18,38*29,24))))</f>
        <v>Falla</v>
      </c>
      <c r="BN43" s="215" t="str" cm="1">
        <f t="array" aca="1" ref="BN43" ca="1">IF($B43="","",IF(ISBLANK(INDIRECT("R9.Web!D"&amp;SUM(18,38*30,24))),"",INDIRECT("R9.Web!D"&amp;SUM(18,38*30,24))))</f>
        <v>N/T</v>
      </c>
      <c r="BO43" s="215" t="str" cm="1">
        <f t="array" aca="1" ref="BO43" ca="1">IF($B43="","",IF(ISBLANK(INDIRECT("R9.Web!D"&amp;SUM(18,38*31,24))),"",INDIRECT("R9.Web!D"&amp;SUM(18,38*31,24))))</f>
        <v>N/D</v>
      </c>
      <c r="BP43" s="215" t="str" cm="1">
        <f t="array" aca="1" ref="BP43" ca="1">IF($B43="","",IF(ISBLANK(INDIRECT("R9.Web!D"&amp;SUM(18,38*32,24))),"",INDIRECT("R9.Web!D"&amp;SUM(18,38*32,24))))</f>
        <v>N/T</v>
      </c>
      <c r="BQ43" s="215" t="str" cm="1">
        <f t="array" aca="1" ref="BQ43" ca="1">IF($B43="","",IF(ISBLANK(INDIRECT("R9.Web!D"&amp;SUM(18,38*33,24))),"",INDIRECT("R9.Web!D"&amp;SUM(18,38*33,24))))</f>
        <v>N/T</v>
      </c>
      <c r="BR43" s="215" t="str" cm="1">
        <f t="array" aca="1" ref="BR43" ca="1">IF($B43="","",IF(ISBLANK(INDIRECT("R9.Web!D"&amp;SUM(18,38*34,24))),"",INDIRECT("R9.Web!D"&amp;SUM(18,38*34,24))))</f>
        <v>N/D</v>
      </c>
      <c r="BS43" s="215" t="str" cm="1">
        <f t="array" aca="1" ref="BS43" ca="1">IF($B43="","",IF(ISBLANK(INDIRECT("R9.Web!D"&amp;SUM(18,38*35,24))),"",INDIRECT("R9.Web!D"&amp;SUM(18,38*35,24))))</f>
        <v>N/T</v>
      </c>
      <c r="BT43" s="215" t="str" cm="1">
        <f t="array" aca="1" ref="BT43" ca="1">IF($B43="","",IF(ISBLANK(INDIRECT("R9.Web!D"&amp;SUM(18,38*36,24))),"",INDIRECT("R9.Web!D"&amp;SUM(18,38*36,24))))</f>
        <v>N/D</v>
      </c>
      <c r="BU43" s="215" t="str" cm="1">
        <f t="array" aca="1" ref="BU43" ca="1">IF($B43="","",IF(ISBLANK(INDIRECT("R9.Web!D"&amp;SUM(18,38*37,24))),"",INDIRECT("R9.Web!D"&amp;SUM(18,38*37,24))))</f>
        <v>N/D</v>
      </c>
      <c r="BV43" s="215" t="str" cm="1">
        <f t="array" aca="1" ref="BV43" ca="1">IF($B43="","",IF(ISBLANK(INDIRECT("R9.Web!D"&amp;SUM(18,38*38,24))),"",INDIRECT("R9.Web!D"&amp;SUM(18,38*38,24))))</f>
        <v>N/D</v>
      </c>
      <c r="BW43" s="215" t="str" cm="1">
        <f t="array" aca="1" ref="BW43" ca="1">IF($B43="","",IF(ISBLANK(INDIRECT("R9.Web!D"&amp;SUM(18,38*39,24))),"",INDIRECT("R9.Web!D"&amp;SUM(18,38*39,24))))</f>
        <v>N/D</v>
      </c>
      <c r="BX43" s="215" t="str" cm="1">
        <f t="array" aca="1" ref="BX43" ca="1">IF($B43="","",IF(ISBLANK(INDIRECT("R9.Web!D"&amp;SUM(18,38*40,24))),"",INDIRECT("R9.Web!D"&amp;SUM(18,38*40,24))))</f>
        <v>N/D</v>
      </c>
      <c r="BY43" s="215" t="str" cm="1">
        <f t="array" aca="1" ref="BY43" ca="1">IF($B43="","",IF(ISBLANK(INDIRECT("R9.Web!D"&amp;SUM(18,38*41,24))),"",INDIRECT("R9.Web!D"&amp;SUM(18,38*41,24))))</f>
        <v>N/T</v>
      </c>
      <c r="BZ43" s="215" t="str" cm="1">
        <f t="array" aca="1" ref="BZ43" ca="1">IF($B43="","",IF(ISBLANK(INDIRECT("R9.Web!D"&amp;SUM(18,38*42,24))),"",INDIRECT("R9.Web!D"&amp;SUM(18,38*42,24))))</f>
        <v>N/T</v>
      </c>
      <c r="CA43" s="215" t="str" cm="1">
        <f t="array" aca="1" ref="CA43" ca="1">IF($B43="","",IF(ISBLANK(INDIRECT("R9.Web!D"&amp;SUM(18,38*43,24))),"",INDIRECT("R9.Web!D"&amp;SUM(18,38*43,24))))</f>
        <v>N/D</v>
      </c>
      <c r="CB43" s="215" t="str" cm="1">
        <f t="array" aca="1" ref="CB43" ca="1">IF($B43="","",IF(ISBLANK(INDIRECT("R9.Web!D"&amp;SUM(18,38*44,24))),"",INDIRECT("R9.Web!D"&amp;SUM(18,38*44,24))))</f>
        <v>N/T</v>
      </c>
      <c r="CC43" s="215" t="str" cm="1">
        <f t="array" aca="1" ref="CC43" ca="1">IF($B43="","",IF(ISBLANK(INDIRECT("R9.Web!D"&amp;SUM(18,38*45,24))),"",INDIRECT("R9.Web!D"&amp;SUM(18,38*45,24))))</f>
        <v>N/T</v>
      </c>
      <c r="CD43" s="215" t="str" cm="1">
        <f t="array" aca="1" ref="CD43" ca="1">IF($B43="","",IF(ISBLANK(INDIRECT("R9.Web!D"&amp;SUM(18,38*46,24))),"",INDIRECT("R9.Web!D"&amp;SUM(18,38*46,24))))</f>
        <v>N/T</v>
      </c>
      <c r="CE43" s="215" t="str" cm="1">
        <f t="array" aca="1" ref="CE43" ca="1">IF($B43="","",IF(ISBLANK(INDIRECT("R9.Web!D"&amp;SUM(18,38*47,24))),"",INDIRECT("R9.Web!D"&amp;SUM(18,38*47,24))))</f>
        <v>N/D</v>
      </c>
      <c r="CF43" s="215" t="str" cm="1">
        <f t="array" aca="1" ref="CF43" ca="1">IF($B43="","",IF(ISBLANK(INDIRECT("R9.Web!D"&amp;SUM(18,38*48,24))),"",INDIRECT("R9.Web!D"&amp;SUM(18,38*48,24))))</f>
        <v>N/T</v>
      </c>
      <c r="CG43" s="215" t="str" cm="1">
        <f t="array" aca="1" ref="CG43" ca="1">IF($B43="","",IF(ISBLANK(INDIRECT("R9.Web!D"&amp;SUM(18,38*49,24))),"",INDIRECT("R9.Web!D"&amp;SUM(18,38*49,24))))</f>
        <v>N/T</v>
      </c>
      <c r="CH43" s="215" t="str" cm="1">
        <f t="array" aca="1" ref="CH43" ca="1">IF($B43="","",IF(ISBLANK(INDIRECT("R11.Software!D"&amp;SUM(18,38*0,24))),"",INDIRECT("R11.Software!D"&amp;SUM(18,38*0,24))))</f>
        <v>N/T</v>
      </c>
      <c r="CI43" s="215" t="str" cm="1">
        <f t="array" aca="1" ref="CI43" ca="1">IF($B43="","",IF(ISBLANK(INDIRECT("R11.Software!D"&amp;SUM(18,38*1,24))),"",INDIRECT("R11.Software!D"&amp;SUM(18,38*1,24))))</f>
        <v>N/T</v>
      </c>
      <c r="CJ43" s="215" t="str" cm="1">
        <f t="array" aca="1" ref="CJ43" ca="1">IF($B43="","",IF(ISBLANK(INDIRECT("R11.Software!D"&amp;SUM(18,38*2,24))),"",INDIRECT("R11.Software!D"&amp;SUM(18,38*2,24))))</f>
        <v>N/T</v>
      </c>
      <c r="CK43" s="215" t="str" cm="1">
        <f t="array" aca="1" ref="CK43" ca="1">IF($B43="","",IF(ISBLANK(INDIRECT("R11.Software!D"&amp;SUM(18,38*3,24))),"",INDIRECT("R11.Software!D"&amp;SUM(18,38*3,24))))</f>
        <v>N/T</v>
      </c>
      <c r="CL43" s="215" t="str" cm="1">
        <f t="array" aca="1" ref="CL43" ca="1">IF($B43="","",IF(ISBLANK(INDIRECT("R11.Software!D"&amp;SUM(18,38*4,24))),"",INDIRECT("R11.Software!D"&amp;SUM(18,38*4,24))))</f>
        <v>N/T</v>
      </c>
      <c r="CM43" s="215" t="str" cm="1">
        <f t="array" aca="1" ref="CM43" ca="1">IF($B43="","",IF(ISBLANK(INDIRECT("R11.Software!D"&amp;SUM(18,38*5,24))),"",INDIRECT("R11.Software!D"&amp;SUM(18,38*5,24))))</f>
        <v>N/T</v>
      </c>
      <c r="CN43" s="215" t="str" cm="1">
        <f t="array" aca="1" ref="CN43" ca="1">IF($B43="","",IF(ISBLANK(INDIRECT("R12.ServiciosApoyo!D"&amp;SUM(18,38*0,24))),"",INDIRECT("R12.ServiciosApoyo!D"&amp;SUM(18,38*0,24))))</f>
        <v>N/T</v>
      </c>
      <c r="CO43" s="215" t="str" cm="1">
        <f t="array" aca="1" ref="CO43" ca="1">IF($B43="","",IF(ISBLANK(INDIRECT("R12.ServiciosApoyo!D"&amp;SUM(18,38*1,24))),"",INDIRECT("R12.ServiciosApoyo!D"&amp;SUM(18,38*1,24))))</f>
        <v>N/T</v>
      </c>
      <c r="CP43" s="215" t="str" cm="1">
        <f t="array" aca="1" ref="CP43" ca="1">IF($B43="","",IF(ISBLANK(INDIRECT("R12.ServiciosApoyo!D"&amp;SUM(18,38*2,24))),"",INDIRECT("R12.ServiciosApoyo!D"&amp;SUM(18,38*2,24))))</f>
        <v>N/T</v>
      </c>
      <c r="CQ43" s="215" t="str" cm="1">
        <f t="array" aca="1" ref="CQ43" ca="1">IF($B43="","",IF(ISBLANK(INDIRECT("R12.ServiciosApoyo!D"&amp;SUM(18,38*3,24))),"",INDIRECT("R12.ServiciosApoyo!D"&amp;SUM(18,38*3,24))))</f>
        <v>N/T</v>
      </c>
      <c r="CR43" s="215" t="str" cm="1">
        <f t="array" aca="1" ref="CR43" ca="1">IF($B43="","",IF(ISBLANK(INDIRECT("R12.ServiciosApoyo!D"&amp;SUM(18,38*4,24))),"",INDIRECT("R12.ServiciosApoyo!D"&amp;SUM(18,38*4,24))))</f>
        <v>N/T</v>
      </c>
      <c r="CU43" s="100"/>
      <c r="CV43" s="29"/>
      <c r="CW43" s="29"/>
      <c r="CX43" s="29"/>
    </row>
    <row r="44" spans="2:102" ht="20.25">
      <c r="B44" s="181" t="n" cm="1">
        <f t="array" ref="B44">IFERROR(INDEX('03.Muestra'!$B$8:$B$42,SMALL(IF("Página Web"='03.Muestra'!$D$8:$D$42,ROW('03.Muestra'!$B$8:$B$42)-MIN(ROW('03.Muestra'!$D$8:$D$42))+1,""),ROW()-19)),"")</f>
        <v>1.0</v>
      </c>
      <c r="C44" s="97" t="str" cm="1">
        <f t="array" ref="C44">IFERROR(INDEX('03.Muestra'!$C$8:$C$42,SMALL(IF("Página Web"='03.Muestra'!$D$8:$D$42,ROW('03.Muestra'!$C$8:$C$42)-MIN(ROW('03.Muestra'!$D$8:$D$42))+1,""),ROW()-19)),"")</f>
        <v>Home - PortCastelló</v>
      </c>
      <c r="D44" s="98" t="str" cm="1">
        <f t="array" ref="D44">IFERROR(INDEX('03.Muestra'!$F$8:$F$42,SMALL(IF("Página Web"='03.Muestra'!$D$8:$D$42,ROW('03.Muestra'!$F$8:$F$42)-MIN(ROW('03.Muestra'!$D$8:$D$42))+1,""),ROW()-19)),"")</f>
        <v>https://www.portcastello.com/</v>
      </c>
      <c r="E44" s="215" t="str" cm="1">
        <f t="array" aca="1" ref="E44" ca="1">IF($B44="","",IF(ISBLANK(INDIRECT("R5.Genéricos!D"&amp;SUM(18,38*0,25))),"",INDIRECT("R5.Genéricos!D"&amp;SUM(18,38*0,25))))</f>
        <v>N/T</v>
      </c>
      <c r="F44" s="215" t="str" cm="1">
        <f t="array" aca="1" ref="F44" ca="1">IF($B44="","",IF(ISBLANK(INDIRECT("R5.Genéricos!D"&amp;SUM(18,38*1,25))),"",INDIRECT("R5.Genéricos!D"&amp;SUM(18,38*1,25))))</f>
        <v>N/T</v>
      </c>
      <c r="G44" s="215" t="str" cm="1">
        <f t="array" aca="1" ref="G44" ca="1">IF($B44="","",IF(ISBLANK(INDIRECT("R5.Genéricos!D"&amp;SUM(18,38*2,25))),"",INDIRECT("R5.Genéricos!D"&amp;SUM(18,38*2,25))))</f>
        <v>N/T</v>
      </c>
      <c r="H44" s="215" t="str" cm="1">
        <f t="array" aca="1" ref="H44" ca="1">IF($B44="","",IF(ISBLANK(INDIRECT("R6.Voz!D"&amp;SUM(18,38*0,25))),"",INDIRECT("R6.Voz!D"&amp;SUM(18,38*0,25))))</f>
        <v>N/T</v>
      </c>
      <c r="I44" s="215" t="str" cm="1">
        <f t="array" aca="1" ref="I44" ca="1">IF($B44="","",IF(ISBLANK(INDIRECT("R6.Voz!D"&amp;SUM(18,38*1,25))),"",INDIRECT("R6.Voz!D"&amp;SUM(18,38*1,25))))</f>
        <v>N/T</v>
      </c>
      <c r="J44" s="215" t="str" cm="1">
        <f t="array" aca="1" ref="J44" ca="1">IF($B44="","",IF(ISBLANK(INDIRECT("R6.Voz!D"&amp;SUM(18,38*2,25))),"",INDIRECT("R6.Voz!D"&amp;SUM(18,38*2,25))))</f>
        <v>N/T</v>
      </c>
      <c r="K44" s="215" t="str" cm="1">
        <f t="array" aca="1" ref="K44" ca="1">IF($B44="","",IF(ISBLANK(INDIRECT("R6.Voz!D"&amp;SUM(18,38*3,25))),"",INDIRECT("R6.Voz!D"&amp;SUM(18,38*3,25))))</f>
        <v>N/T</v>
      </c>
      <c r="L44" s="215" t="str" cm="1">
        <f t="array" aca="1" ref="L44" ca="1">IF($B44="","",IF(ISBLANK(INDIRECT("R6.Voz!D"&amp;SUM(18,38*4,25))),"",INDIRECT("R6.Voz!D"&amp;SUM(18,38*4,25))))</f>
        <v>N/T</v>
      </c>
      <c r="M44" s="215" t="str" cm="1">
        <f t="array" aca="1" ref="M44" ca="1">IF($B44="","",IF(ISBLANK(INDIRECT("R6.Voz!D"&amp;SUM(18,38*5,25))),"",INDIRECT("R6.Voz!D"&amp;SUM(18,38*5,25))))</f>
        <v>N/T</v>
      </c>
      <c r="N44" s="215" t="str" cm="1">
        <f t="array" aca="1" ref="N44" ca="1">IF($B44="","",IF(ISBLANK(INDIRECT("R6.Voz!D"&amp;SUM(18,38*6,25))),"",INDIRECT("R6.Voz!D"&amp;SUM(18,38*6,25))))</f>
        <v>N/T</v>
      </c>
      <c r="O44" s="215" t="str" cm="1">
        <f t="array" aca="1" ref="O44" ca="1">IF($B44="","",IF(ISBLANK(INDIRECT("R6.Voz!D"&amp;SUM(18,38*7,25))),"",INDIRECT("R6.Voz!D"&amp;SUM(18,38*7,25))))</f>
        <v>N/T</v>
      </c>
      <c r="P44" s="215" t="str" cm="1">
        <f t="array" aca="1" ref="P44" ca="1">IF($B44="","",IF(ISBLANK(INDIRECT("R6.Voz!D"&amp;SUM(18,38*8,25))),"",INDIRECT("R6.Voz!D"&amp;SUM(18,38*8,25))))</f>
        <v>N/T</v>
      </c>
      <c r="Q44" s="215" t="str" cm="1">
        <f t="array" aca="1" ref="Q44" ca="1">IF($B44="","",IF(ISBLANK(INDIRECT("R6.Voz!D"&amp;SUM(18,38*9,25))),"",INDIRECT("R6.Voz!D"&amp;SUM(18,38*9,25))))</f>
        <v>N/T</v>
      </c>
      <c r="R44" s="215" t="str" cm="1">
        <f t="array" aca="1" ref="R44" ca="1">IF($B44="","",IF(ISBLANK(INDIRECT("R6.Voz!D"&amp;SUM(18,38*10,25))),"",INDIRECT("R6.Voz!D"&amp;SUM(18,38*10,25))))</f>
        <v>N/T</v>
      </c>
      <c r="S44" s="215" t="str" cm="1">
        <f t="array" aca="1" ref="S44" ca="1">IF($B44="","",IF(ISBLANK(INDIRECT("R6.Voz!D"&amp;SUM(18,38*11,25))),"",INDIRECT("R6.Voz!D"&amp;SUM(18,38*11,25))))</f>
        <v>N/T</v>
      </c>
      <c r="T44" s="215" t="str" cm="1">
        <f t="array" aca="1" ref="T44" ca="1">IF($B44="","",IF(ISBLANK(INDIRECT("R6.Voz!D"&amp;SUM(18,38*12,25))),"",INDIRECT("R6.Voz!D"&amp;SUM(18,38*12,25))))</f>
        <v>N/T</v>
      </c>
      <c r="U44" s="215" t="str" cm="1">
        <f t="array" aca="1" ref="U44" ca="1">IF($B44="","",IF(ISBLANK(INDIRECT("R6.Voz!D"&amp;SUM(18,38*13,25))),"",INDIRECT("R6.Voz!D"&amp;SUM(18,38*13,25))))</f>
        <v>N/T</v>
      </c>
      <c r="V44" s="215" t="str" cm="1">
        <f t="array" aca="1" ref="V44" ca="1">IF($B44="","",IF(ISBLANK(INDIRECT("R6.Voz!D"&amp;SUM(18,38*14,25))),"",INDIRECT("R6.Voz!D"&amp;SUM(18,38*14,25))))</f>
        <v>N/T</v>
      </c>
      <c r="W44" s="215" t="str" cm="1">
        <f t="array" aca="1" ref="W44" ca="1">IF($B44="","",IF(ISBLANK(INDIRECT("R6.Voz!D"&amp;SUM(18,38*15,25))),"",INDIRECT("R6.Voz!D"&amp;SUM(18,38*15,25))))</f>
        <v>N/T</v>
      </c>
      <c r="X44" s="215" t="str" cm="1">
        <f t="array" aca="1" ref="X44" ca="1">IF($B44="","",IF(ISBLANK(INDIRECT("R6.Voz!D"&amp;SUM(18,38*16,25))),"",INDIRECT("R6.Voz!D"&amp;SUM(18,38*16,25))))</f>
        <v>N/T</v>
      </c>
      <c r="Y44" s="215" t="str" cm="1">
        <f t="array" aca="1" ref="Y44" ca="1">IF($B44="","",IF(ISBLANK(INDIRECT("R6.Voz!D"&amp;SUM(18,38*17,25))),"",INDIRECT("R6.Voz!D"&amp;SUM(18,38*17,25))))</f>
        <v>N/T</v>
      </c>
      <c r="Z44" s="215" t="str" cm="1">
        <f t="array" aca="1" ref="Z44" ca="1">IF($B44="","",IF(ISBLANK(INDIRECT("R6.Voz!D"&amp;SUM(18,38*18,25))),"",INDIRECT("R6.Voz!D"&amp;SUM(18,38*18,25))))</f>
        <v>N/T</v>
      </c>
      <c r="AA44" s="215" t="str" cm="1">
        <f t="array" aca="1" ref="AA44" ca="1">IF($B44="","",IF(ISBLANK(INDIRECT("R7.Video!D"&amp;SUM(18,38*0,25))),"",INDIRECT("R7.Video!D"&amp;SUM(18,38*0,25))))</f>
        <v>N/T</v>
      </c>
      <c r="AB44" s="215" t="str" cm="1">
        <f t="array" aca="1" ref="AB44" ca="1">IF($B44="","",IF(ISBLANK(INDIRECT("R7.Video!D"&amp;SUM(18,38*1,25))),"",INDIRECT("R7.Video!D"&amp;SUM(18,38*1,25))))</f>
        <v>N/T</v>
      </c>
      <c r="AC44" s="215" t="str" cm="1">
        <f t="array" aca="1" ref="AC44" ca="1">IF($B44="","",IF(ISBLANK(INDIRECT("R7.Video!D"&amp;SUM(18,38*2,25))),"",INDIRECT("R7.Video!D"&amp;SUM(18,38*2,25))))</f>
        <v>N/T</v>
      </c>
      <c r="AD44" s="215" t="str" cm="1">
        <f t="array" aca="1" ref="AD44" ca="1">IF($B44="","",IF(ISBLANK(INDIRECT("R7.Video!D"&amp;SUM(18,38*3,25))),"",INDIRECT("R7.Video!D"&amp;SUM(18,38*3,25))))</f>
        <v>N/T</v>
      </c>
      <c r="AE44" s="215" t="str" cm="1">
        <f t="array" aca="1" ref="AE44" ca="1">IF($B44="","",IF(ISBLANK(INDIRECT("R7.Video!D"&amp;SUM(18,38*4,25))),"",INDIRECT("R7.Video!D"&amp;SUM(18,38*4,25))))</f>
        <v>N/T</v>
      </c>
      <c r="AF44" s="215" t="str" cm="1">
        <f t="array" aca="1" ref="AF44" ca="1">IF($B44="","",IF(ISBLANK(INDIRECT("R7.Video!D"&amp;SUM(18,38*5,25))),"",INDIRECT("R7.Video!D"&amp;SUM(18,38*5,25))))</f>
        <v>N/T</v>
      </c>
      <c r="AG44" s="215" t="str" cm="1">
        <f t="array" aca="1" ref="AG44" ca="1">IF($B44="","",IF(ISBLANK(INDIRECT("R7.Video!D"&amp;SUM(18,38*6,25))),"",INDIRECT("R7.Video!D"&amp;SUM(18,38*6,25))))</f>
        <v>N/T</v>
      </c>
      <c r="AH44" s="215" t="str" cm="1">
        <f t="array" aca="1" ref="AH44" ca="1">IF($B44="","",IF(ISBLANK(INDIRECT("R7.Video!D"&amp;SUM(18,38*7,25))),"",INDIRECT("R7.Video!D"&amp;SUM(18,38*7,25))))</f>
        <v>N/T</v>
      </c>
      <c r="AI44" s="215" t="str" cm="1">
        <f t="array" aca="1" ref="AI44" ca="1">IF($B44="","",IF(ISBLANK(INDIRECT("R7.Video!D"&amp;SUM(18,38*8,25))),"",INDIRECT("R7.Video!D"&amp;SUM(18,38*8,25))))</f>
        <v>N/T</v>
      </c>
      <c r="AJ44" s="215" t="str" cm="1">
        <f t="array" aca="1" ref="AJ44" ca="1">IF($B44="","",IF(ISBLANK(INDIRECT("R9.Web!D"&amp;SUM(18,38*0,25))),"",INDIRECT("R9.Web!D"&amp;SUM(18,38*0,25))))</f>
        <v>N/D</v>
      </c>
      <c r="AK44" s="215" t="str" cm="1">
        <f t="array" aca="1" ref="AK44" ca="1">IF($B44="","",IF(ISBLANK(INDIRECT("R9.Web!D"&amp;SUM(18,38*1,25))),"",INDIRECT("R9.Web!D"&amp;SUM(18,38*1,25))))</f>
        <v>N/T</v>
      </c>
      <c r="AL44" s="215" t="str" cm="1">
        <f t="array" aca="1" ref="AL44" ca="1">IF($B44="","",IF(ISBLANK(INDIRECT("R9.Web!D"&amp;SUM(18,38*2,25))),"",INDIRECT("R9.Web!D"&amp;SUM(18,38*2,25))))</f>
        <v>N/T</v>
      </c>
      <c r="AM44" s="215" t="str" cm="1">
        <f t="array" aca="1" ref="AM44" ca="1">IF($B44="","",IF(ISBLANK(INDIRECT("R9.Web!D"&amp;SUM(18,38*3,25))),"",INDIRECT("R9.Web!D"&amp;SUM(18,38*3,25))))</f>
        <v>N/T</v>
      </c>
      <c r="AN44" s="215" t="str" cm="1">
        <f t="array" aca="1" ref="AN44" ca="1">IF($B44="","",IF(ISBLANK(INDIRECT("R9.Web!D"&amp;SUM(18,38*4,25))),"",INDIRECT("R9.Web!D"&amp;SUM(18,38*4,25))))</f>
        <v>N/T</v>
      </c>
      <c r="AO44" s="215" t="str" cm="1">
        <f t="array" aca="1" ref="AO44" ca="1">IF($B44="","",IF(ISBLANK(INDIRECT("R9.Web!D"&amp;SUM(18,38*5,25))),"",INDIRECT("R9.Web!D"&amp;SUM(18,38*5,25))))</f>
        <v>N/D</v>
      </c>
      <c r="AP44" s="215" t="str" cm="1">
        <f t="array" aca="1" ref="AP44" ca="1">IF($B44="","",IF(ISBLANK(INDIRECT("R9.Web!D"&amp;SUM(18,38*6,25))),"",INDIRECT("R9.Web!D"&amp;SUM(18,38*6,25))))</f>
        <v>N/T</v>
      </c>
      <c r="AQ44" s="215" t="str" cm="1">
        <f t="array" aca="1" ref="AQ44" ca="1">IF($B44="","",IF(ISBLANK(INDIRECT("R9.Web!D"&amp;SUM(18,38*7,25))),"",INDIRECT("R9.Web!D"&amp;SUM(18,38*7,25))))</f>
        <v>N/T</v>
      </c>
      <c r="AR44" s="215" t="str" cm="1">
        <f t="array" aca="1" ref="AR44" ca="1">IF($B44="","",IF(ISBLANK(INDIRECT("R9.Web!D"&amp;SUM(18,38*8,25))),"",INDIRECT("R9.Web!D"&amp;SUM(18,38*8,25))))</f>
        <v>N/D</v>
      </c>
      <c r="AS44" s="215" t="str" cm="1">
        <f t="array" aca="1" ref="AS44" ca="1">IF($B44="","",IF(ISBLANK(INDIRECT("R9.Web!D"&amp;SUM(18,38*9,25))),"",INDIRECT("R9.Web!D"&amp;SUM(18,38*9,25))))</f>
        <v>N/D</v>
      </c>
      <c r="AT44" s="215" t="str" cm="1">
        <f t="array" aca="1" ref="AT44" ca="1">IF($B44="","",IF(ISBLANK(INDIRECT("R9.Web!D"&amp;SUM(18,38*10,25))),"",INDIRECT("R9.Web!D"&amp;SUM(18,38*10,25))))</f>
        <v>N/T</v>
      </c>
      <c r="AU44" s="215" t="str" cm="1">
        <f t="array" aca="1" ref="AU44" ca="1">IF($B44="","",IF(ISBLANK(INDIRECT("R9.Web!D"&amp;SUM(18,38*11,25))),"",INDIRECT("R9.Web!D"&amp;SUM(18,38*11,25))))</f>
        <v>N/T</v>
      </c>
      <c r="AV44" s="215" t="str" cm="1">
        <f t="array" aca="1" ref="AV44" ca="1">IF($B44="","",IF(ISBLANK(INDIRECT("R9.Web!D"&amp;SUM(18,38*12,25))),"",INDIRECT("R9.Web!D"&amp;SUM(18,38*12,25))))</f>
        <v>N/D</v>
      </c>
      <c r="AW44" s="215" t="str" cm="1">
        <f t="array" aca="1" ref="AW44" ca="1">IF($B44="","",IF(ISBLANK(INDIRECT("R9.Web!D"&amp;SUM(18,38*13,25))),"",INDIRECT("R9.Web!D"&amp;SUM(18,38*13,25))))</f>
        <v>N/T</v>
      </c>
      <c r="AX44" s="215" t="str" cm="1">
        <f t="array" aca="1" ref="AX44" ca="1">IF($B44="","",IF(ISBLANK(INDIRECT("R9.Web!D"&amp;SUM(18,38*14,25))),"",INDIRECT("R9.Web!D"&amp;SUM(18,38*14,25))))</f>
        <v>N/T</v>
      </c>
      <c r="AY44" s="215" t="str" cm="1">
        <f t="array" aca="1" ref="AY44" ca="1">IF($B44="","",IF(ISBLANK(INDIRECT("R9.Web!D"&amp;SUM(18,38*15,25))),"",INDIRECT("R9.Web!D"&amp;SUM(18,38*15,25))))</f>
        <v>N/D</v>
      </c>
      <c r="AZ44" s="215" t="str" cm="1">
        <f t="array" aca="1" ref="AZ44" ca="1">IF($B44="","",IF(ISBLANK(INDIRECT("R9.Web!D"&amp;SUM(18,38*16,25))),"",INDIRECT("R9.Web!D"&amp;SUM(18,38*16,25))))</f>
        <v>N/T</v>
      </c>
      <c r="BA44" s="215" t="str" cm="1">
        <f t="array" aca="1" ref="BA44" ca="1">IF($B44="","",IF(ISBLANK(INDIRECT("R9.Web!D"&amp;SUM(18,38*17,25))),"",INDIRECT("R9.Web!D"&amp;SUM(18,38*17,25))))</f>
        <v>N/D</v>
      </c>
      <c r="BB44" s="215" t="str" cm="1">
        <f t="array" aca="1" ref="BB44" ca="1">IF($B44="","",IF(ISBLANK(INDIRECT("R9.Web!D"&amp;SUM(18,38*18,25))),"",INDIRECT("R9.Web!D"&amp;SUM(18,38*18,25))))</f>
        <v>N/T</v>
      </c>
      <c r="BC44" s="215" t="str" cm="1">
        <f t="array" aca="1" ref="BC44" ca="1">IF($B44="","",IF(ISBLANK(INDIRECT("R9.Web!D"&amp;SUM(18,38*19,25))),"",INDIRECT("R9.Web!D"&amp;SUM(18,38*19,25))))</f>
        <v>N/D</v>
      </c>
      <c r="BD44" s="215" t="str" cm="1">
        <f t="array" aca="1" ref="BD44" ca="1">IF($B44="","",IF(ISBLANK(INDIRECT("R9.Web!D"&amp;SUM(18,38*20,25))),"",INDIRECT("R9.Web!D"&amp;SUM(18,38*20,25))))</f>
        <v>N/T</v>
      </c>
      <c r="BE44" s="215" t="str" cm="1">
        <f t="array" aca="1" ref="BE44" ca="1">IF($B44="","",IF(ISBLANK(INDIRECT("R9.Web!D"&amp;SUM(18,38*21,25))),"",INDIRECT("R9.Web!D"&amp;SUM(18,38*21,25))))</f>
        <v>N/T</v>
      </c>
      <c r="BF44" s="215" t="str" cm="1">
        <f t="array" aca="1" ref="BF44" ca="1">IF($B44="","",IF(ISBLANK(INDIRECT("R9.Web!D"&amp;SUM(18,38*22,25))),"",INDIRECT("R9.Web!D"&amp;SUM(18,38*22,25))))</f>
        <v>N/D</v>
      </c>
      <c r="BG44" s="215" t="str" cm="1">
        <f t="array" aca="1" ref="BG44" ca="1">IF($B44="","",IF(ISBLANK(INDIRECT("R9.Web!D"&amp;SUM(18,38*23,25))),"",INDIRECT("R9.Web!D"&amp;SUM(18,38*23,25))))</f>
        <v>N/D</v>
      </c>
      <c r="BH44" s="215" t="str" cm="1">
        <f t="array" aca="1" ref="BH44" ca="1">IF($B44="","",IF(ISBLANK(INDIRECT("R9.Web!D"&amp;SUM(18,38*24,25))),"",INDIRECT("R9.Web!D"&amp;SUM(18,38*24,25))))</f>
        <v>N/T</v>
      </c>
      <c r="BI44" s="215" t="str" cm="1">
        <f t="array" aca="1" ref="BI44" ca="1">IF($B44="","",IF(ISBLANK(INDIRECT("R9.Web!D"&amp;SUM(18,38*25,25))),"",INDIRECT("R9.Web!D"&amp;SUM(18,38*25,25))))</f>
        <v>N/D</v>
      </c>
      <c r="BJ44" s="215" t="str" cm="1">
        <f t="array" aca="1" ref="BJ44" ca="1">IF($B44="","",IF(ISBLANK(INDIRECT("R9.Web!D"&amp;SUM(18,38*26,25))),"",INDIRECT("R9.Web!D"&amp;SUM(18,38*26,25))))</f>
        <v>N/D</v>
      </c>
      <c r="BK44" s="215" t="str" cm="1">
        <f t="array" aca="1" ref="BK44" ca="1">IF($B44="","",IF(ISBLANK(INDIRECT("R9.Web!D"&amp;SUM(18,38*27,25))),"",INDIRECT("R9.Web!D"&amp;SUM(18,38*27,25))))</f>
        <v>N/D</v>
      </c>
      <c r="BL44" s="215" t="str" cm="1">
        <f t="array" aca="1" ref="BL44" ca="1">IF($B44="","",IF(ISBLANK(INDIRECT("R9.Web!D"&amp;SUM(18,38*28,25))),"",INDIRECT("R9.Web!D"&amp;SUM(18,38*28,25))))</f>
        <v>N/D</v>
      </c>
      <c r="BM44" s="215" t="str" cm="1">
        <f t="array" aca="1" ref="BM44" ca="1">IF($B44="","",IF(ISBLANK(INDIRECT("R9.Web!D"&amp;SUM(18,38*29,25))),"",INDIRECT("R9.Web!D"&amp;SUM(18,38*29,25))))</f>
        <v>N/D</v>
      </c>
      <c r="BN44" s="215" t="str" cm="1">
        <f t="array" aca="1" ref="BN44" ca="1">IF($B44="","",IF(ISBLANK(INDIRECT("R9.Web!D"&amp;SUM(18,38*30,25))),"",INDIRECT("R9.Web!D"&amp;SUM(18,38*30,25))))</f>
        <v>N/T</v>
      </c>
      <c r="BO44" s="215" t="str" cm="1">
        <f t="array" aca="1" ref="BO44" ca="1">IF($B44="","",IF(ISBLANK(INDIRECT("R9.Web!D"&amp;SUM(18,38*31,25))),"",INDIRECT("R9.Web!D"&amp;SUM(18,38*31,25))))</f>
        <v>N/D</v>
      </c>
      <c r="BP44" s="215" t="str" cm="1">
        <f t="array" aca="1" ref="BP44" ca="1">IF($B44="","",IF(ISBLANK(INDIRECT("R9.Web!D"&amp;SUM(18,38*32,25))),"",INDIRECT("R9.Web!D"&amp;SUM(18,38*32,25))))</f>
        <v>N/T</v>
      </c>
      <c r="BQ44" s="215" t="str" cm="1">
        <f t="array" aca="1" ref="BQ44" ca="1">IF($B44="","",IF(ISBLANK(INDIRECT("R9.Web!D"&amp;SUM(18,38*33,25))),"",INDIRECT("R9.Web!D"&amp;SUM(18,38*33,25))))</f>
        <v>N/T</v>
      </c>
      <c r="BR44" s="215" t="str" cm="1">
        <f t="array" aca="1" ref="BR44" ca="1">IF($B44="","",IF(ISBLANK(INDIRECT("R9.Web!D"&amp;SUM(18,38*34,25))),"",INDIRECT("R9.Web!D"&amp;SUM(18,38*34,25))))</f>
        <v>N/D</v>
      </c>
      <c r="BS44" s="215" t="str" cm="1">
        <f t="array" aca="1" ref="BS44" ca="1">IF($B44="","",IF(ISBLANK(INDIRECT("R9.Web!D"&amp;SUM(18,38*35,25))),"",INDIRECT("R9.Web!D"&amp;SUM(18,38*35,25))))</f>
        <v>N/T</v>
      </c>
      <c r="BT44" s="215" t="str" cm="1">
        <f t="array" aca="1" ref="BT44" ca="1">IF($B44="","",IF(ISBLANK(INDIRECT("R9.Web!D"&amp;SUM(18,38*36,25))),"",INDIRECT("R9.Web!D"&amp;SUM(18,38*36,25))))</f>
        <v>N/D</v>
      </c>
      <c r="BU44" s="215" t="str" cm="1">
        <f t="array" aca="1" ref="BU44" ca="1">IF($B44="","",IF(ISBLANK(INDIRECT("R9.Web!D"&amp;SUM(18,38*37,25))),"",INDIRECT("R9.Web!D"&amp;SUM(18,38*37,25))))</f>
        <v>N/D</v>
      </c>
      <c r="BV44" s="215" t="str" cm="1">
        <f t="array" aca="1" ref="BV44" ca="1">IF($B44="","",IF(ISBLANK(INDIRECT("R9.Web!D"&amp;SUM(18,38*38,25))),"",INDIRECT("R9.Web!D"&amp;SUM(18,38*38,25))))</f>
        <v>N/D</v>
      </c>
      <c r="BW44" s="215" t="str" cm="1">
        <f t="array" aca="1" ref="BW44" ca="1">IF($B44="","",IF(ISBLANK(INDIRECT("R9.Web!D"&amp;SUM(18,38*39,25))),"",INDIRECT("R9.Web!D"&amp;SUM(18,38*39,25))))</f>
        <v>N/D</v>
      </c>
      <c r="BX44" s="215" t="str" cm="1">
        <f t="array" aca="1" ref="BX44" ca="1">IF($B44="","",IF(ISBLANK(INDIRECT("R9.Web!D"&amp;SUM(18,38*40,25))),"",INDIRECT("R9.Web!D"&amp;SUM(18,38*40,25))))</f>
        <v>N/D</v>
      </c>
      <c r="BY44" s="215" t="str" cm="1">
        <f t="array" aca="1" ref="BY44" ca="1">IF($B44="","",IF(ISBLANK(INDIRECT("R9.Web!D"&amp;SUM(18,38*41,25))),"",INDIRECT("R9.Web!D"&amp;SUM(18,38*41,25))))</f>
        <v>N/T</v>
      </c>
      <c r="BZ44" s="215" t="str" cm="1">
        <f t="array" aca="1" ref="BZ44" ca="1">IF($B44="","",IF(ISBLANK(INDIRECT("R9.Web!D"&amp;SUM(18,38*42,25))),"",INDIRECT("R9.Web!D"&amp;SUM(18,38*42,25))))</f>
        <v>N/T</v>
      </c>
      <c r="CA44" s="215" t="str" cm="1">
        <f t="array" aca="1" ref="CA44" ca="1">IF($B44="","",IF(ISBLANK(INDIRECT("R9.Web!D"&amp;SUM(18,38*43,25))),"",INDIRECT("R9.Web!D"&amp;SUM(18,38*43,25))))</f>
        <v>N/D</v>
      </c>
      <c r="CB44" s="215" t="str" cm="1">
        <f t="array" aca="1" ref="CB44" ca="1">IF($B44="","",IF(ISBLANK(INDIRECT("R9.Web!D"&amp;SUM(18,38*44,25))),"",INDIRECT("R9.Web!D"&amp;SUM(18,38*44,25))))</f>
        <v>N/T</v>
      </c>
      <c r="CC44" s="215" t="str" cm="1">
        <f t="array" aca="1" ref="CC44" ca="1">IF($B44="","",IF(ISBLANK(INDIRECT("R9.Web!D"&amp;SUM(18,38*45,25))),"",INDIRECT("R9.Web!D"&amp;SUM(18,38*45,25))))</f>
        <v>N/T</v>
      </c>
      <c r="CD44" s="215" t="str" cm="1">
        <f t="array" aca="1" ref="CD44" ca="1">IF($B44="","",IF(ISBLANK(INDIRECT("R9.Web!D"&amp;SUM(18,38*46,25))),"",INDIRECT("R9.Web!D"&amp;SUM(18,38*46,25))))</f>
        <v>N/T</v>
      </c>
      <c r="CE44" s="215" t="str" cm="1">
        <f t="array" aca="1" ref="CE44" ca="1">IF($B44="","",IF(ISBLANK(INDIRECT("R9.Web!D"&amp;SUM(18,38*47,25))),"",INDIRECT("R9.Web!D"&amp;SUM(18,38*47,25))))</f>
        <v>N/D</v>
      </c>
      <c r="CF44" s="215" t="str" cm="1">
        <f t="array" aca="1" ref="CF44" ca="1">IF($B44="","",IF(ISBLANK(INDIRECT("R9.Web!D"&amp;SUM(18,38*48,25))),"",INDIRECT("R9.Web!D"&amp;SUM(18,38*48,25))))</f>
        <v>N/T</v>
      </c>
      <c r="CG44" s="215" t="str" cm="1">
        <f t="array" aca="1" ref="CG44" ca="1">IF($B44="","",IF(ISBLANK(INDIRECT("R9.Web!D"&amp;SUM(18,38*49,25))),"",INDIRECT("R9.Web!D"&amp;SUM(18,38*49,25))))</f>
        <v>N/T</v>
      </c>
      <c r="CH44" s="215" t="str" cm="1">
        <f t="array" aca="1" ref="CH44" ca="1">IF($B44="","",IF(ISBLANK(INDIRECT("R11.Software!D"&amp;SUM(18,38*0,25))),"",INDIRECT("R11.Software!D"&amp;SUM(18,38*0,25))))</f>
        <v>N/T</v>
      </c>
      <c r="CI44" s="215" t="str" cm="1">
        <f t="array" aca="1" ref="CI44" ca="1">IF($B44="","",IF(ISBLANK(INDIRECT("R11.Software!D"&amp;SUM(18,38*1,25))),"",INDIRECT("R11.Software!D"&amp;SUM(18,38*1,25))))</f>
        <v>N/T</v>
      </c>
      <c r="CJ44" s="215" t="str" cm="1">
        <f t="array" aca="1" ref="CJ44" ca="1">IF($B44="","",IF(ISBLANK(INDIRECT("R11.Software!D"&amp;SUM(18,38*2,25))),"",INDIRECT("R11.Software!D"&amp;SUM(18,38*2,25))))</f>
        <v>N/T</v>
      </c>
      <c r="CK44" s="215" t="str" cm="1">
        <f t="array" aca="1" ref="CK44" ca="1">IF($B44="","",IF(ISBLANK(INDIRECT("R11.Software!D"&amp;SUM(18,38*3,25))),"",INDIRECT("R11.Software!D"&amp;SUM(18,38*3,25))))</f>
        <v>N/T</v>
      </c>
      <c r="CL44" s="215" t="str" cm="1">
        <f t="array" aca="1" ref="CL44" ca="1">IF($B44="","",IF(ISBLANK(INDIRECT("R11.Software!D"&amp;SUM(18,38*4,25))),"",INDIRECT("R11.Software!D"&amp;SUM(18,38*4,25))))</f>
        <v>N/T</v>
      </c>
      <c r="CM44" s="215" t="str" cm="1">
        <f t="array" aca="1" ref="CM44" ca="1">IF($B44="","",IF(ISBLANK(INDIRECT("R11.Software!D"&amp;SUM(18,38*5,25))),"",INDIRECT("R11.Software!D"&amp;SUM(18,38*5,25))))</f>
        <v>N/T</v>
      </c>
      <c r="CN44" s="215" t="str" cm="1">
        <f t="array" aca="1" ref="CN44" ca="1">IF($B44="","",IF(ISBLANK(INDIRECT("R12.ServiciosApoyo!D"&amp;SUM(18,38*0,25))),"",INDIRECT("R12.ServiciosApoyo!D"&amp;SUM(18,38*0,25))))</f>
        <v>N/T</v>
      </c>
      <c r="CO44" s="215" t="str" cm="1">
        <f t="array" aca="1" ref="CO44" ca="1">IF($B44="","",IF(ISBLANK(INDIRECT("R12.ServiciosApoyo!D"&amp;SUM(18,38*1,25))),"",INDIRECT("R12.ServiciosApoyo!D"&amp;SUM(18,38*1,25))))</f>
        <v>N/T</v>
      </c>
      <c r="CP44" s="215" t="str" cm="1">
        <f t="array" aca="1" ref="CP44" ca="1">IF($B44="","",IF(ISBLANK(INDIRECT("R12.ServiciosApoyo!D"&amp;SUM(18,38*2,25))),"",INDIRECT("R12.ServiciosApoyo!D"&amp;SUM(18,38*2,25))))</f>
        <v>N/T</v>
      </c>
      <c r="CQ44" s="215" t="str" cm="1">
        <f t="array" aca="1" ref="CQ44" ca="1">IF($B44="","",IF(ISBLANK(INDIRECT("R12.ServiciosApoyo!D"&amp;SUM(18,38*3,25))),"",INDIRECT("R12.ServiciosApoyo!D"&amp;SUM(18,38*3,25))))</f>
        <v>N/T</v>
      </c>
      <c r="CR44" s="215" t="str" cm="1">
        <f t="array" aca="1" ref="CR44" ca="1">IF($B44="","",IF(ISBLANK(INDIRECT("R12.ServiciosApoyo!D"&amp;SUM(18,38*4,25))),"",INDIRECT("R12.ServiciosApoyo!D"&amp;SUM(18,38*4,25))))</f>
        <v>N/T</v>
      </c>
      <c r="CU44" s="100"/>
      <c r="CV44" s="29"/>
      <c r="CW44" s="29"/>
      <c r="CX44" s="29"/>
    </row>
    <row r="45" spans="2:102" ht="20.25">
      <c r="B45" s="181" t="n" cm="1">
        <f t="array" ref="B45">IFERROR(INDEX('03.Muestra'!$B$8:$B$42,SMALL(IF("Página Web"='03.Muestra'!$D$8:$D$42,ROW('03.Muestra'!$B$8:$B$42)-MIN(ROW('03.Muestra'!$D$8:$D$42))+1,""),ROW()-19)),"")</f>
        <v>1.0</v>
      </c>
      <c r="C45" s="97" t="str" cm="1">
        <f t="array" ref="C45">IFERROR(INDEX('03.Muestra'!$C$8:$C$42,SMALL(IF("Página Web"='03.Muestra'!$D$8:$D$42,ROW('03.Muestra'!$C$8:$C$42)-MIN(ROW('03.Muestra'!$D$8:$D$42))+1,""),ROW()-19)),"")</f>
        <v>Home - PortCastelló</v>
      </c>
      <c r="D45" s="98" t="str" cm="1">
        <f t="array" ref="D45">IFERROR(INDEX('03.Muestra'!$F$8:$F$42,SMALL(IF("Página Web"='03.Muestra'!$D$8:$D$42,ROW('03.Muestra'!$F$8:$F$42)-MIN(ROW('03.Muestra'!$D$8:$D$42))+1,""),ROW()-19)),"")</f>
        <v>https://www.portcastello.com/</v>
      </c>
      <c r="E45" s="215" t="str" cm="1">
        <f t="array" aca="1" ref="E45" ca="1">IF($B45="","",IF(ISBLANK(INDIRECT("R5.Genéricos!D"&amp;SUM(18,38*0,26))),"",INDIRECT("R5.Genéricos!D"&amp;SUM(18,38*0,26))))</f>
        <v>N/T</v>
      </c>
      <c r="F45" s="215" t="str" cm="1">
        <f t="array" aca="1" ref="F45" ca="1">IF($B45="","",IF(ISBLANK(INDIRECT("R5.Genéricos!D"&amp;SUM(18,38*1,26))),"",INDIRECT("R5.Genéricos!D"&amp;SUM(18,38*1,26))))</f>
        <v>N/T</v>
      </c>
      <c r="G45" s="215" t="str" cm="1">
        <f t="array" aca="1" ref="G45" ca="1">IF($B45="","",IF(ISBLANK(INDIRECT("R5.Genéricos!D"&amp;SUM(18,38*2,26))),"",INDIRECT("R5.Genéricos!D"&amp;SUM(18,38*2,26))))</f>
        <v>N/T</v>
      </c>
      <c r="H45" s="215" t="str" cm="1">
        <f t="array" aca="1" ref="H45" ca="1">IF($B45="","",IF(ISBLANK(INDIRECT("R6.Voz!D"&amp;SUM(18,38*0,26))),"",INDIRECT("R6.Voz!D"&amp;SUM(18,38*0,26))))</f>
        <v>N/T</v>
      </c>
      <c r="I45" s="215" t="str" cm="1">
        <f t="array" aca="1" ref="I45" ca="1">IF($B45="","",IF(ISBLANK(INDIRECT("R6.Voz!D"&amp;SUM(18,38*1,26))),"",INDIRECT("R6.Voz!D"&amp;SUM(18,38*1,26))))</f>
        <v>N/T</v>
      </c>
      <c r="J45" s="215" t="str" cm="1">
        <f t="array" aca="1" ref="J45" ca="1">IF($B45="","",IF(ISBLANK(INDIRECT("R6.Voz!D"&amp;SUM(18,38*2,26))),"",INDIRECT("R6.Voz!D"&amp;SUM(18,38*2,26))))</f>
        <v>N/T</v>
      </c>
      <c r="K45" s="215" t="str" cm="1">
        <f t="array" aca="1" ref="K45" ca="1">IF($B45="","",IF(ISBLANK(INDIRECT("R6.Voz!D"&amp;SUM(18,38*3,26))),"",INDIRECT("R6.Voz!D"&amp;SUM(18,38*3,26))))</f>
        <v>N/T</v>
      </c>
      <c r="L45" s="215" t="str" cm="1">
        <f t="array" aca="1" ref="L45" ca="1">IF($B45="","",IF(ISBLANK(INDIRECT("R6.Voz!D"&amp;SUM(18,38*4,26))),"",INDIRECT("R6.Voz!D"&amp;SUM(18,38*4,26))))</f>
        <v>N/T</v>
      </c>
      <c r="M45" s="215" t="str" cm="1">
        <f t="array" aca="1" ref="M45" ca="1">IF($B45="","",IF(ISBLANK(INDIRECT("R6.Voz!D"&amp;SUM(18,38*5,26))),"",INDIRECT("R6.Voz!D"&amp;SUM(18,38*5,26))))</f>
        <v>N/T</v>
      </c>
      <c r="N45" s="215" t="str" cm="1">
        <f t="array" aca="1" ref="N45" ca="1">IF($B45="","",IF(ISBLANK(INDIRECT("R6.Voz!D"&amp;SUM(18,38*6,26))),"",INDIRECT("R6.Voz!D"&amp;SUM(18,38*6,26))))</f>
        <v>N/T</v>
      </c>
      <c r="O45" s="215" t="str" cm="1">
        <f t="array" aca="1" ref="O45" ca="1">IF($B45="","",IF(ISBLANK(INDIRECT("R6.Voz!D"&amp;SUM(18,38*7,26))),"",INDIRECT("R6.Voz!D"&amp;SUM(18,38*7,26))))</f>
        <v>N/T</v>
      </c>
      <c r="P45" s="215" t="str" cm="1">
        <f t="array" aca="1" ref="P45" ca="1">IF($B45="","",IF(ISBLANK(INDIRECT("R6.Voz!D"&amp;SUM(18,38*8,26))),"",INDIRECT("R6.Voz!D"&amp;SUM(18,38*8,26))))</f>
        <v>N/T</v>
      </c>
      <c r="Q45" s="215" t="str" cm="1">
        <f t="array" aca="1" ref="Q45" ca="1">IF($B45="","",IF(ISBLANK(INDIRECT("R6.Voz!D"&amp;SUM(18,38*9,26))),"",INDIRECT("R6.Voz!D"&amp;SUM(18,38*9,26))))</f>
        <v>N/T</v>
      </c>
      <c r="R45" s="215" t="str" cm="1">
        <f t="array" aca="1" ref="R45" ca="1">IF($B45="","",IF(ISBLANK(INDIRECT("R6.Voz!D"&amp;SUM(18,38*10,26))),"",INDIRECT("R6.Voz!D"&amp;SUM(18,38*10,26))))</f>
        <v>N/T</v>
      </c>
      <c r="S45" s="215" t="str" cm="1">
        <f t="array" aca="1" ref="S45" ca="1">IF($B45="","",IF(ISBLANK(INDIRECT("R6.Voz!D"&amp;SUM(18,38*11,26))),"",INDIRECT("R6.Voz!D"&amp;SUM(18,38*11,26))))</f>
        <v>N/T</v>
      </c>
      <c r="T45" s="215" t="str" cm="1">
        <f t="array" aca="1" ref="T45" ca="1">IF($B45="","",IF(ISBLANK(INDIRECT("R6.Voz!D"&amp;SUM(18,38*12,26))),"",INDIRECT("R6.Voz!D"&amp;SUM(18,38*12,26))))</f>
        <v>N/T</v>
      </c>
      <c r="U45" s="215" t="str" cm="1">
        <f t="array" aca="1" ref="U45" ca="1">IF($B45="","",IF(ISBLANK(INDIRECT("R6.Voz!D"&amp;SUM(18,38*13,26))),"",INDIRECT("R6.Voz!D"&amp;SUM(18,38*13,26))))</f>
        <v>N/T</v>
      </c>
      <c r="V45" s="215" t="str" cm="1">
        <f t="array" aca="1" ref="V45" ca="1">IF($B45="","",IF(ISBLANK(INDIRECT("R6.Voz!D"&amp;SUM(18,38*14,26))),"",INDIRECT("R6.Voz!D"&amp;SUM(18,38*14,26))))</f>
        <v>N/T</v>
      </c>
      <c r="W45" s="215" t="str" cm="1">
        <f t="array" aca="1" ref="W45" ca="1">IF($B45="","",IF(ISBLANK(INDIRECT("R6.Voz!D"&amp;SUM(18,38*15,26))),"",INDIRECT("R6.Voz!D"&amp;SUM(18,38*15,26))))</f>
        <v>N/T</v>
      </c>
      <c r="X45" s="215" t="str" cm="1">
        <f t="array" aca="1" ref="X45" ca="1">IF($B45="","",IF(ISBLANK(INDIRECT("R6.Voz!D"&amp;SUM(18,38*16,26))),"",INDIRECT("R6.Voz!D"&amp;SUM(18,38*16,26))))</f>
        <v>N/T</v>
      </c>
      <c r="Y45" s="215" t="str" cm="1">
        <f t="array" aca="1" ref="Y45" ca="1">IF($B45="","",IF(ISBLANK(INDIRECT("R6.Voz!D"&amp;SUM(18,38*17,26))),"",INDIRECT("R6.Voz!D"&amp;SUM(18,38*17,26))))</f>
        <v>N/T</v>
      </c>
      <c r="Z45" s="215" t="str" cm="1">
        <f t="array" aca="1" ref="Z45" ca="1">IF($B45="","",IF(ISBLANK(INDIRECT("R6.Voz!D"&amp;SUM(18,38*18,26))),"",INDIRECT("R6.Voz!D"&amp;SUM(18,38*18,26))))</f>
        <v>N/T</v>
      </c>
      <c r="AA45" s="215" t="str" cm="1">
        <f t="array" aca="1" ref="AA45" ca="1">IF($B45="","",IF(ISBLANK(INDIRECT("R7.Video!D"&amp;SUM(18,38*0,26))),"",INDIRECT("R7.Video!D"&amp;SUM(18,38*0,26))))</f>
        <v>N/T</v>
      </c>
      <c r="AB45" s="215" t="str" cm="1">
        <f t="array" aca="1" ref="AB45" ca="1">IF($B45="","",IF(ISBLANK(INDIRECT("R7.Video!D"&amp;SUM(18,38*1,26))),"",INDIRECT("R7.Video!D"&amp;SUM(18,38*1,26))))</f>
        <v>N/T</v>
      </c>
      <c r="AC45" s="215" t="str" cm="1">
        <f t="array" aca="1" ref="AC45" ca="1">IF($B45="","",IF(ISBLANK(INDIRECT("R7.Video!D"&amp;SUM(18,38*2,26))),"",INDIRECT("R7.Video!D"&amp;SUM(18,38*2,26))))</f>
        <v>N/T</v>
      </c>
      <c r="AD45" s="215" t="str" cm="1">
        <f t="array" aca="1" ref="AD45" ca="1">IF($B45="","",IF(ISBLANK(INDIRECT("R7.Video!D"&amp;SUM(18,38*3,26))),"",INDIRECT("R7.Video!D"&amp;SUM(18,38*3,26))))</f>
        <v>N/T</v>
      </c>
      <c r="AE45" s="215" t="str" cm="1">
        <f t="array" aca="1" ref="AE45" ca="1">IF($B45="","",IF(ISBLANK(INDIRECT("R7.Video!D"&amp;SUM(18,38*4,26))),"",INDIRECT("R7.Video!D"&amp;SUM(18,38*4,26))))</f>
        <v>N/T</v>
      </c>
      <c r="AF45" s="215" t="str" cm="1">
        <f t="array" aca="1" ref="AF45" ca="1">IF($B45="","",IF(ISBLANK(INDIRECT("R7.Video!D"&amp;SUM(18,38*5,26))),"",INDIRECT("R7.Video!D"&amp;SUM(18,38*5,26))))</f>
        <v>N/T</v>
      </c>
      <c r="AG45" s="215" t="str" cm="1">
        <f t="array" aca="1" ref="AG45" ca="1">IF($B45="","",IF(ISBLANK(INDIRECT("R7.Video!D"&amp;SUM(18,38*6,26))),"",INDIRECT("R7.Video!D"&amp;SUM(18,38*6,26))))</f>
        <v>N/T</v>
      </c>
      <c r="AH45" s="215" t="str" cm="1">
        <f t="array" aca="1" ref="AH45" ca="1">IF($B45="","",IF(ISBLANK(INDIRECT("R7.Video!D"&amp;SUM(18,38*7,26))),"",INDIRECT("R7.Video!D"&amp;SUM(18,38*7,26))))</f>
        <v>N/T</v>
      </c>
      <c r="AI45" s="215" t="str" cm="1">
        <f t="array" aca="1" ref="AI45" ca="1">IF($B45="","",IF(ISBLANK(INDIRECT("R7.Video!D"&amp;SUM(18,38*8,26))),"",INDIRECT("R7.Video!D"&amp;SUM(18,38*8,26))))</f>
        <v>N/T</v>
      </c>
      <c r="AJ45" s="215" t="str" cm="1">
        <f t="array" aca="1" ref="AJ45" ca="1">IF($B45="","",IF(ISBLANK(INDIRECT("R9.Web!D"&amp;SUM(18,38*0,26))),"",INDIRECT("R9.Web!D"&amp;SUM(18,38*0,26))))</f>
        <v>N/D</v>
      </c>
      <c r="AK45" s="215" t="str" cm="1">
        <f t="array" aca="1" ref="AK45" ca="1">IF($B45="","",IF(ISBLANK(INDIRECT("R9.Web!D"&amp;SUM(18,38*1,26))),"",INDIRECT("R9.Web!D"&amp;SUM(18,38*1,26))))</f>
        <v>N/T</v>
      </c>
      <c r="AL45" s="215" t="str" cm="1">
        <f t="array" aca="1" ref="AL45" ca="1">IF($B45="","",IF(ISBLANK(INDIRECT("R9.Web!D"&amp;SUM(18,38*2,26))),"",INDIRECT("R9.Web!D"&amp;SUM(18,38*2,26))))</f>
        <v>N/T</v>
      </c>
      <c r="AM45" s="215" t="str" cm="1">
        <f t="array" aca="1" ref="AM45" ca="1">IF($B45="","",IF(ISBLANK(INDIRECT("R9.Web!D"&amp;SUM(18,38*3,26))),"",INDIRECT("R9.Web!D"&amp;SUM(18,38*3,26))))</f>
        <v>N/T</v>
      </c>
      <c r="AN45" s="215" t="str" cm="1">
        <f t="array" aca="1" ref="AN45" ca="1">IF($B45="","",IF(ISBLANK(INDIRECT("R9.Web!D"&amp;SUM(18,38*4,26))),"",INDIRECT("R9.Web!D"&amp;SUM(18,38*4,26))))</f>
        <v>N/T</v>
      </c>
      <c r="AO45" s="215" t="str" cm="1">
        <f t="array" aca="1" ref="AO45" ca="1">IF($B45="","",IF(ISBLANK(INDIRECT("R9.Web!D"&amp;SUM(18,38*5,26))),"",INDIRECT("R9.Web!D"&amp;SUM(18,38*5,26))))</f>
        <v>N/D</v>
      </c>
      <c r="AP45" s="215" t="str" cm="1">
        <f t="array" aca="1" ref="AP45" ca="1">IF($B45="","",IF(ISBLANK(INDIRECT("R9.Web!D"&amp;SUM(18,38*6,26))),"",INDIRECT("R9.Web!D"&amp;SUM(18,38*6,26))))</f>
        <v>N/T</v>
      </c>
      <c r="AQ45" s="215" t="str" cm="1">
        <f t="array" aca="1" ref="AQ45" ca="1">IF($B45="","",IF(ISBLANK(INDIRECT("R9.Web!D"&amp;SUM(18,38*7,26))),"",INDIRECT("R9.Web!D"&amp;SUM(18,38*7,26))))</f>
        <v>N/T</v>
      </c>
      <c r="AR45" s="215" t="str" cm="1">
        <f t="array" aca="1" ref="AR45" ca="1">IF($B45="","",IF(ISBLANK(INDIRECT("R9.Web!D"&amp;SUM(18,38*8,26))),"",INDIRECT("R9.Web!D"&amp;SUM(18,38*8,26))))</f>
        <v>N/D</v>
      </c>
      <c r="AS45" s="215" t="str" cm="1">
        <f t="array" aca="1" ref="AS45" ca="1">IF($B45="","",IF(ISBLANK(INDIRECT("R9.Web!D"&amp;SUM(18,38*9,26))),"",INDIRECT("R9.Web!D"&amp;SUM(18,38*9,26))))</f>
        <v>N/D</v>
      </c>
      <c r="AT45" s="215" t="str" cm="1">
        <f t="array" aca="1" ref="AT45" ca="1">IF($B45="","",IF(ISBLANK(INDIRECT("R9.Web!D"&amp;SUM(18,38*10,26))),"",INDIRECT("R9.Web!D"&amp;SUM(18,38*10,26))))</f>
        <v>N/T</v>
      </c>
      <c r="AU45" s="215" t="str" cm="1">
        <f t="array" aca="1" ref="AU45" ca="1">IF($B45="","",IF(ISBLANK(INDIRECT("R9.Web!D"&amp;SUM(18,38*11,26))),"",INDIRECT("R9.Web!D"&amp;SUM(18,38*11,26))))</f>
        <v>N/T</v>
      </c>
      <c r="AV45" s="215" t="str" cm="1">
        <f t="array" aca="1" ref="AV45" ca="1">IF($B45="","",IF(ISBLANK(INDIRECT("R9.Web!D"&amp;SUM(18,38*12,26))),"",INDIRECT("R9.Web!D"&amp;SUM(18,38*12,26))))</f>
        <v>N/D</v>
      </c>
      <c r="AW45" s="215" t="str" cm="1">
        <f t="array" aca="1" ref="AW45" ca="1">IF($B45="","",IF(ISBLANK(INDIRECT("R9.Web!D"&amp;SUM(18,38*13,26))),"",INDIRECT("R9.Web!D"&amp;SUM(18,38*13,26))))</f>
        <v>N/T</v>
      </c>
      <c r="AX45" s="215" t="str" cm="1">
        <f t="array" aca="1" ref="AX45" ca="1">IF($B45="","",IF(ISBLANK(INDIRECT("R9.Web!D"&amp;SUM(18,38*14,26))),"",INDIRECT("R9.Web!D"&amp;SUM(18,38*14,26))))</f>
        <v>N/T</v>
      </c>
      <c r="AY45" s="215" t="str" cm="1">
        <f t="array" aca="1" ref="AY45" ca="1">IF($B45="","",IF(ISBLANK(INDIRECT("R9.Web!D"&amp;SUM(18,38*15,26))),"",INDIRECT("R9.Web!D"&amp;SUM(18,38*15,26))))</f>
        <v>N/D</v>
      </c>
      <c r="AZ45" s="215" t="str" cm="1">
        <f t="array" aca="1" ref="AZ45" ca="1">IF($B45="","",IF(ISBLANK(INDIRECT("R9.Web!D"&amp;SUM(18,38*16,26))),"",INDIRECT("R9.Web!D"&amp;SUM(18,38*16,26))))</f>
        <v>N/T</v>
      </c>
      <c r="BA45" s="215" t="str" cm="1">
        <f t="array" aca="1" ref="BA45" ca="1">IF($B45="","",IF(ISBLANK(INDIRECT("R9.Web!D"&amp;SUM(18,38*17,26))),"",INDIRECT("R9.Web!D"&amp;SUM(18,38*17,26))))</f>
        <v>N/D</v>
      </c>
      <c r="BB45" s="215" t="str" cm="1">
        <f t="array" aca="1" ref="BB45" ca="1">IF($B45="","",IF(ISBLANK(INDIRECT("R9.Web!D"&amp;SUM(18,38*18,26))),"",INDIRECT("R9.Web!D"&amp;SUM(18,38*18,26))))</f>
        <v>N/T</v>
      </c>
      <c r="BC45" s="215" t="str" cm="1">
        <f t="array" aca="1" ref="BC45" ca="1">IF($B45="","",IF(ISBLANK(INDIRECT("R9.Web!D"&amp;SUM(18,38*19,26))),"",INDIRECT("R9.Web!D"&amp;SUM(18,38*19,26))))</f>
        <v>N/D</v>
      </c>
      <c r="BD45" s="215" t="str" cm="1">
        <f t="array" aca="1" ref="BD45" ca="1">IF($B45="","",IF(ISBLANK(INDIRECT("R9.Web!D"&amp;SUM(18,38*20,26))),"",INDIRECT("R9.Web!D"&amp;SUM(18,38*20,26))))</f>
        <v>N/T</v>
      </c>
      <c r="BE45" s="215" t="str" cm="1">
        <f t="array" aca="1" ref="BE45" ca="1">IF($B45="","",IF(ISBLANK(INDIRECT("R9.Web!D"&amp;SUM(18,38*21,26))),"",INDIRECT("R9.Web!D"&amp;SUM(18,38*21,26))))</f>
        <v>N/T</v>
      </c>
      <c r="BF45" s="215" t="str" cm="1">
        <f t="array" aca="1" ref="BF45" ca="1">IF($B45="","",IF(ISBLANK(INDIRECT("R9.Web!D"&amp;SUM(18,38*22,26))),"",INDIRECT("R9.Web!D"&amp;SUM(18,38*22,26))))</f>
        <v>N/D</v>
      </c>
      <c r="BG45" s="215" t="str" cm="1">
        <f t="array" aca="1" ref="BG45" ca="1">IF($B45="","",IF(ISBLANK(INDIRECT("R9.Web!D"&amp;SUM(18,38*23,26))),"",INDIRECT("R9.Web!D"&amp;SUM(18,38*23,26))))</f>
        <v>N/D</v>
      </c>
      <c r="BH45" s="215" t="str" cm="1">
        <f t="array" aca="1" ref="BH45" ca="1">IF($B45="","",IF(ISBLANK(INDIRECT("R9.Web!D"&amp;SUM(18,38*24,26))),"",INDIRECT("R9.Web!D"&amp;SUM(18,38*24,26))))</f>
        <v>N/T</v>
      </c>
      <c r="BI45" s="215" t="str" cm="1">
        <f t="array" aca="1" ref="BI45" ca="1">IF($B45="","",IF(ISBLANK(INDIRECT("R9.Web!D"&amp;SUM(18,38*25,26))),"",INDIRECT("R9.Web!D"&amp;SUM(18,38*25,26))))</f>
        <v>N/D</v>
      </c>
      <c r="BJ45" s="215" t="str" cm="1">
        <f t="array" aca="1" ref="BJ45" ca="1">IF($B45="","",IF(ISBLANK(INDIRECT("R9.Web!D"&amp;SUM(18,38*26,26))),"",INDIRECT("R9.Web!D"&amp;SUM(18,38*26,26))))</f>
        <v>N/D</v>
      </c>
      <c r="BK45" s="215" t="str" cm="1">
        <f t="array" aca="1" ref="BK45" ca="1">IF($B45="","",IF(ISBLANK(INDIRECT("R9.Web!D"&amp;SUM(18,38*27,26))),"",INDIRECT("R9.Web!D"&amp;SUM(18,38*27,26))))</f>
        <v>N/D</v>
      </c>
      <c r="BL45" s="215" t="str" cm="1">
        <f t="array" aca="1" ref="BL45" ca="1">IF($B45="","",IF(ISBLANK(INDIRECT("R9.Web!D"&amp;SUM(18,38*28,26))),"",INDIRECT("R9.Web!D"&amp;SUM(18,38*28,26))))</f>
        <v>N/D</v>
      </c>
      <c r="BM45" s="215" t="str" cm="1">
        <f t="array" aca="1" ref="BM45" ca="1">IF($B45="","",IF(ISBLANK(INDIRECT("R9.Web!D"&amp;SUM(18,38*29,26))),"",INDIRECT("R9.Web!D"&amp;SUM(18,38*29,26))))</f>
        <v>N/D</v>
      </c>
      <c r="BN45" s="215" t="str" cm="1">
        <f t="array" aca="1" ref="BN45" ca="1">IF($B45="","",IF(ISBLANK(INDIRECT("R9.Web!D"&amp;SUM(18,38*30,26))),"",INDIRECT("R9.Web!D"&amp;SUM(18,38*30,26))))</f>
        <v>N/T</v>
      </c>
      <c r="BO45" s="215" t="str" cm="1">
        <f t="array" aca="1" ref="BO45" ca="1">IF($B45="","",IF(ISBLANK(INDIRECT("R9.Web!D"&amp;SUM(18,38*31,26))),"",INDIRECT("R9.Web!D"&amp;SUM(18,38*31,26))))</f>
        <v>N/D</v>
      </c>
      <c r="BP45" s="215" t="str" cm="1">
        <f t="array" aca="1" ref="BP45" ca="1">IF($B45="","",IF(ISBLANK(INDIRECT("R9.Web!D"&amp;SUM(18,38*32,26))),"",INDIRECT("R9.Web!D"&amp;SUM(18,38*32,26))))</f>
        <v>N/T</v>
      </c>
      <c r="BQ45" s="215" t="str" cm="1">
        <f t="array" aca="1" ref="BQ45" ca="1">IF($B45="","",IF(ISBLANK(INDIRECT("R9.Web!D"&amp;SUM(18,38*33,26))),"",INDIRECT("R9.Web!D"&amp;SUM(18,38*33,26))))</f>
        <v>N/T</v>
      </c>
      <c r="BR45" s="215" t="str" cm="1">
        <f t="array" aca="1" ref="BR45" ca="1">IF($B45="","",IF(ISBLANK(INDIRECT("R9.Web!D"&amp;SUM(18,38*34,26))),"",INDIRECT("R9.Web!D"&amp;SUM(18,38*34,26))))</f>
        <v>N/D</v>
      </c>
      <c r="BS45" s="215" t="str" cm="1">
        <f t="array" aca="1" ref="BS45" ca="1">IF($B45="","",IF(ISBLANK(INDIRECT("R9.Web!D"&amp;SUM(18,38*35,26))),"",INDIRECT("R9.Web!D"&amp;SUM(18,38*35,26))))</f>
        <v>N/T</v>
      </c>
      <c r="BT45" s="215" t="str" cm="1">
        <f t="array" aca="1" ref="BT45" ca="1">IF($B45="","",IF(ISBLANK(INDIRECT("R9.Web!D"&amp;SUM(18,38*36,26))),"",INDIRECT("R9.Web!D"&amp;SUM(18,38*36,26))))</f>
        <v>N/D</v>
      </c>
      <c r="BU45" s="215" t="str" cm="1">
        <f t="array" aca="1" ref="BU45" ca="1">IF($B45="","",IF(ISBLANK(INDIRECT("R9.Web!D"&amp;SUM(18,38*37,26))),"",INDIRECT("R9.Web!D"&amp;SUM(18,38*37,26))))</f>
        <v>N/D</v>
      </c>
      <c r="BV45" s="215" t="str" cm="1">
        <f t="array" aca="1" ref="BV45" ca="1">IF($B45="","",IF(ISBLANK(INDIRECT("R9.Web!D"&amp;SUM(18,38*38,26))),"",INDIRECT("R9.Web!D"&amp;SUM(18,38*38,26))))</f>
        <v>N/D</v>
      </c>
      <c r="BW45" s="215" t="str" cm="1">
        <f t="array" aca="1" ref="BW45" ca="1">IF($B45="","",IF(ISBLANK(INDIRECT("R9.Web!D"&amp;SUM(18,38*39,26))),"",INDIRECT("R9.Web!D"&amp;SUM(18,38*39,26))))</f>
        <v>N/D</v>
      </c>
      <c r="BX45" s="215" t="str" cm="1">
        <f t="array" aca="1" ref="BX45" ca="1">IF($B45="","",IF(ISBLANK(INDIRECT("R9.Web!D"&amp;SUM(18,38*40,26))),"",INDIRECT("R9.Web!D"&amp;SUM(18,38*40,26))))</f>
        <v>N/D</v>
      </c>
      <c r="BY45" s="215" t="str" cm="1">
        <f t="array" aca="1" ref="BY45" ca="1">IF($B45="","",IF(ISBLANK(INDIRECT("R9.Web!D"&amp;SUM(18,38*41,26))),"",INDIRECT("R9.Web!D"&amp;SUM(18,38*41,26))))</f>
        <v>N/T</v>
      </c>
      <c r="BZ45" s="215" t="str" cm="1">
        <f t="array" aca="1" ref="BZ45" ca="1">IF($B45="","",IF(ISBLANK(INDIRECT("R9.Web!D"&amp;SUM(18,38*42,26))),"",INDIRECT("R9.Web!D"&amp;SUM(18,38*42,26))))</f>
        <v>N/T</v>
      </c>
      <c r="CA45" s="215" t="str" cm="1">
        <f t="array" aca="1" ref="CA45" ca="1">IF($B45="","",IF(ISBLANK(INDIRECT("R9.Web!D"&amp;SUM(18,38*43,26))),"",INDIRECT("R9.Web!D"&amp;SUM(18,38*43,26))))</f>
        <v>N/D</v>
      </c>
      <c r="CB45" s="215" t="str" cm="1">
        <f t="array" aca="1" ref="CB45" ca="1">IF($B45="","",IF(ISBLANK(INDIRECT("R9.Web!D"&amp;SUM(18,38*44,26))),"",INDIRECT("R9.Web!D"&amp;SUM(18,38*44,26))))</f>
        <v>N/T</v>
      </c>
      <c r="CC45" s="215" t="str" cm="1">
        <f t="array" aca="1" ref="CC45" ca="1">IF($B45="","",IF(ISBLANK(INDIRECT("R9.Web!D"&amp;SUM(18,38*45,26))),"",INDIRECT("R9.Web!D"&amp;SUM(18,38*45,26))))</f>
        <v>N/T</v>
      </c>
      <c r="CD45" s="215" t="str" cm="1">
        <f t="array" aca="1" ref="CD45" ca="1">IF($B45="","",IF(ISBLANK(INDIRECT("R9.Web!D"&amp;SUM(18,38*46,26))),"",INDIRECT("R9.Web!D"&amp;SUM(18,38*46,26))))</f>
        <v>N/T</v>
      </c>
      <c r="CE45" s="215" t="str" cm="1">
        <f t="array" aca="1" ref="CE45" ca="1">IF($B45="","",IF(ISBLANK(INDIRECT("R9.Web!D"&amp;SUM(18,38*47,26))),"",INDIRECT("R9.Web!D"&amp;SUM(18,38*47,26))))</f>
        <v>N/D</v>
      </c>
      <c r="CF45" s="215" t="str" cm="1">
        <f t="array" aca="1" ref="CF45" ca="1">IF($B45="","",IF(ISBLANK(INDIRECT("R9.Web!D"&amp;SUM(18,38*48,26))),"",INDIRECT("R9.Web!D"&amp;SUM(18,38*48,26))))</f>
        <v>N/T</v>
      </c>
      <c r="CG45" s="215" t="str" cm="1">
        <f t="array" aca="1" ref="CG45" ca="1">IF($B45="","",IF(ISBLANK(INDIRECT("R9.Web!D"&amp;SUM(18,38*49,26))),"",INDIRECT("R9.Web!D"&amp;SUM(18,38*49,26))))</f>
        <v>N/T</v>
      </c>
      <c r="CH45" s="215" t="str" cm="1">
        <f t="array" aca="1" ref="CH45" ca="1">IF($B45="","",IF(ISBLANK(INDIRECT("R11.Software!D"&amp;SUM(18,38*0,26))),"",INDIRECT("R11.Software!D"&amp;SUM(18,38*0,26))))</f>
        <v>N/T</v>
      </c>
      <c r="CI45" s="215" t="str" cm="1">
        <f t="array" aca="1" ref="CI45" ca="1">IF($B45="","",IF(ISBLANK(INDIRECT("R11.Software!D"&amp;SUM(18,38*1,26))),"",INDIRECT("R11.Software!D"&amp;SUM(18,38*1,26))))</f>
        <v>N/T</v>
      </c>
      <c r="CJ45" s="215" t="str" cm="1">
        <f t="array" aca="1" ref="CJ45" ca="1">IF($B45="","",IF(ISBLANK(INDIRECT("R11.Software!D"&amp;SUM(18,38*2,26))),"",INDIRECT("R11.Software!D"&amp;SUM(18,38*2,26))))</f>
        <v>N/T</v>
      </c>
      <c r="CK45" s="215" t="str" cm="1">
        <f t="array" aca="1" ref="CK45" ca="1">IF($B45="","",IF(ISBLANK(INDIRECT("R11.Software!D"&amp;SUM(18,38*3,26))),"",INDIRECT("R11.Software!D"&amp;SUM(18,38*3,26))))</f>
        <v>N/T</v>
      </c>
      <c r="CL45" s="215" t="str" cm="1">
        <f t="array" aca="1" ref="CL45" ca="1">IF($B45="","",IF(ISBLANK(INDIRECT("R11.Software!D"&amp;SUM(18,38*4,26))),"",INDIRECT("R11.Software!D"&amp;SUM(18,38*4,26))))</f>
        <v>N/T</v>
      </c>
      <c r="CM45" s="215" t="str" cm="1">
        <f t="array" aca="1" ref="CM45" ca="1">IF($B45="","",IF(ISBLANK(INDIRECT("R11.Software!D"&amp;SUM(18,38*5,26))),"",INDIRECT("R11.Software!D"&amp;SUM(18,38*5,26))))</f>
        <v>N/T</v>
      </c>
      <c r="CN45" s="215" t="str" cm="1">
        <f t="array" aca="1" ref="CN45" ca="1">IF($B45="","",IF(ISBLANK(INDIRECT("R12.ServiciosApoyo!D"&amp;SUM(18,38*0,26))),"",INDIRECT("R12.ServiciosApoyo!D"&amp;SUM(18,38*0,26))))</f>
        <v>N/T</v>
      </c>
      <c r="CO45" s="215" t="str" cm="1">
        <f t="array" aca="1" ref="CO45" ca="1">IF($B45="","",IF(ISBLANK(INDIRECT("R12.ServiciosApoyo!D"&amp;SUM(18,38*1,26))),"",INDIRECT("R12.ServiciosApoyo!D"&amp;SUM(18,38*1,26))))</f>
        <v>N/T</v>
      </c>
      <c r="CP45" s="215" t="str" cm="1">
        <f t="array" aca="1" ref="CP45" ca="1">IF($B45="","",IF(ISBLANK(INDIRECT("R12.ServiciosApoyo!D"&amp;SUM(18,38*2,26))),"",INDIRECT("R12.ServiciosApoyo!D"&amp;SUM(18,38*2,26))))</f>
        <v>N/T</v>
      </c>
      <c r="CQ45" s="215" t="str" cm="1">
        <f t="array" aca="1" ref="CQ45" ca="1">IF($B45="","",IF(ISBLANK(INDIRECT("R12.ServiciosApoyo!D"&amp;SUM(18,38*3,26))),"",INDIRECT("R12.ServiciosApoyo!D"&amp;SUM(18,38*3,26))))</f>
        <v>N/T</v>
      </c>
      <c r="CR45" s="215" t="str" cm="1">
        <f t="array" aca="1" ref="CR45" ca="1">IF($B45="","",IF(ISBLANK(INDIRECT("R12.ServiciosApoyo!D"&amp;SUM(18,38*4,26))),"",INDIRECT("R12.ServiciosApoyo!D"&amp;SUM(18,38*4,26))))</f>
        <v>N/T</v>
      </c>
      <c r="CU45" s="100"/>
      <c r="CV45" s="29"/>
      <c r="CW45" s="29"/>
      <c r="CX45" s="29"/>
    </row>
    <row r="46" spans="2:102" ht="20.25">
      <c r="B46" s="181" t="n" cm="1">
        <f t="array" ref="B46">IFERROR(INDEX('03.Muestra'!$B$8:$B$42,SMALL(IF("Página Web"='03.Muestra'!$D$8:$D$42,ROW('03.Muestra'!$B$8:$B$42)-MIN(ROW('03.Muestra'!$D$8:$D$42))+1,""),ROW()-19)),"")</f>
        <v>1.0</v>
      </c>
      <c r="C46" s="97" t="str" cm="1">
        <f t="array" ref="C46">IFERROR(INDEX('03.Muestra'!$C$8:$C$42,SMALL(IF("Página Web"='03.Muestra'!$D$8:$D$42,ROW('03.Muestra'!$C$8:$C$42)-MIN(ROW('03.Muestra'!$D$8:$D$42))+1,""),ROW()-19)),"")</f>
        <v>Home - PortCastelló</v>
      </c>
      <c r="D46" s="98" t="str" cm="1">
        <f t="array" ref="D46">IFERROR(INDEX('03.Muestra'!$F$8:$F$42,SMALL(IF("Página Web"='03.Muestra'!$D$8:$D$42,ROW('03.Muestra'!$F$8:$F$42)-MIN(ROW('03.Muestra'!$D$8:$D$42))+1,""),ROW()-19)),"")</f>
        <v>https://www.portcastello.com/</v>
      </c>
      <c r="E46" s="215" t="str" cm="1">
        <f t="array" aca="1" ref="E46" ca="1">IF($B46="","",IF(ISBLANK(INDIRECT("R5.Genéricos!D"&amp;SUM(18,38*0,27))),"",INDIRECT("R5.Genéricos!D"&amp;SUM(18,38*0,27))))</f>
        <v>N/T</v>
      </c>
      <c r="F46" s="215" t="str" cm="1">
        <f t="array" aca="1" ref="F46" ca="1">IF($B46="","",IF(ISBLANK(INDIRECT("R5.Genéricos!D"&amp;SUM(18,38*1,27))),"",INDIRECT("R5.Genéricos!D"&amp;SUM(18,38*1,27))))</f>
        <v>N/T</v>
      </c>
      <c r="G46" s="215" t="str" cm="1">
        <f t="array" aca="1" ref="G46" ca="1">IF($B46="","",IF(ISBLANK(INDIRECT("R5.Genéricos!D"&amp;SUM(18,38*2,27))),"",INDIRECT("R5.Genéricos!D"&amp;SUM(18,38*2,27))))</f>
        <v>N/T</v>
      </c>
      <c r="H46" s="215" t="str" cm="1">
        <f t="array" aca="1" ref="H46" ca="1">IF($B46="","",IF(ISBLANK(INDIRECT("R6.Voz!D"&amp;SUM(18,38*0,27))),"",INDIRECT("R6.Voz!D"&amp;SUM(18,38*0,27))))</f>
        <v>N/T</v>
      </c>
      <c r="I46" s="215" t="str" cm="1">
        <f t="array" aca="1" ref="I46" ca="1">IF($B46="","",IF(ISBLANK(INDIRECT("R6.Voz!D"&amp;SUM(18,38*1,27))),"",INDIRECT("R6.Voz!D"&amp;SUM(18,38*1,27))))</f>
        <v>N/T</v>
      </c>
      <c r="J46" s="215" t="str" cm="1">
        <f t="array" aca="1" ref="J46" ca="1">IF($B46="","",IF(ISBLANK(INDIRECT("R6.Voz!D"&amp;SUM(18,38*2,27))),"",INDIRECT("R6.Voz!D"&amp;SUM(18,38*2,27))))</f>
        <v>N/T</v>
      </c>
      <c r="K46" s="215" t="str" cm="1">
        <f t="array" aca="1" ref="K46" ca="1">IF($B46="","",IF(ISBLANK(INDIRECT("R6.Voz!D"&amp;SUM(18,38*3,27))),"",INDIRECT("R6.Voz!D"&amp;SUM(18,38*3,27))))</f>
        <v>N/T</v>
      </c>
      <c r="L46" s="215" t="str" cm="1">
        <f t="array" aca="1" ref="L46" ca="1">IF($B46="","",IF(ISBLANK(INDIRECT("R6.Voz!D"&amp;SUM(18,38*4,27))),"",INDIRECT("R6.Voz!D"&amp;SUM(18,38*4,27))))</f>
        <v>N/T</v>
      </c>
      <c r="M46" s="215" t="str" cm="1">
        <f t="array" aca="1" ref="M46" ca="1">IF($B46="","",IF(ISBLANK(INDIRECT("R6.Voz!D"&amp;SUM(18,38*5,27))),"",INDIRECT("R6.Voz!D"&amp;SUM(18,38*5,27))))</f>
        <v>N/T</v>
      </c>
      <c r="N46" s="215" t="str" cm="1">
        <f t="array" aca="1" ref="N46" ca="1">IF($B46="","",IF(ISBLANK(INDIRECT("R6.Voz!D"&amp;SUM(18,38*6,27))),"",INDIRECT("R6.Voz!D"&amp;SUM(18,38*6,27))))</f>
        <v>N/T</v>
      </c>
      <c r="O46" s="215" t="str" cm="1">
        <f t="array" aca="1" ref="O46" ca="1">IF($B46="","",IF(ISBLANK(INDIRECT("R6.Voz!D"&amp;SUM(18,38*7,27))),"",INDIRECT("R6.Voz!D"&amp;SUM(18,38*7,27))))</f>
        <v>N/T</v>
      </c>
      <c r="P46" s="215" t="str" cm="1">
        <f t="array" aca="1" ref="P46" ca="1">IF($B46="","",IF(ISBLANK(INDIRECT("R6.Voz!D"&amp;SUM(18,38*8,27))),"",INDIRECT("R6.Voz!D"&amp;SUM(18,38*8,27))))</f>
        <v>N/T</v>
      </c>
      <c r="Q46" s="215" t="str" cm="1">
        <f t="array" aca="1" ref="Q46" ca="1">IF($B46="","",IF(ISBLANK(INDIRECT("R6.Voz!D"&amp;SUM(18,38*9,27))),"",INDIRECT("R6.Voz!D"&amp;SUM(18,38*9,27))))</f>
        <v>N/T</v>
      </c>
      <c r="R46" s="215" t="str" cm="1">
        <f t="array" aca="1" ref="R46" ca="1">IF($B46="","",IF(ISBLANK(INDIRECT("R6.Voz!D"&amp;SUM(18,38*10,27))),"",INDIRECT("R6.Voz!D"&amp;SUM(18,38*10,27))))</f>
        <v>N/T</v>
      </c>
      <c r="S46" s="215" t="str" cm="1">
        <f t="array" aca="1" ref="S46" ca="1">IF($B46="","",IF(ISBLANK(INDIRECT("R6.Voz!D"&amp;SUM(18,38*11,27))),"",INDIRECT("R6.Voz!D"&amp;SUM(18,38*11,27))))</f>
        <v>N/T</v>
      </c>
      <c r="T46" s="215" t="str" cm="1">
        <f t="array" aca="1" ref="T46" ca="1">IF($B46="","",IF(ISBLANK(INDIRECT("R6.Voz!D"&amp;SUM(18,38*12,27))),"",INDIRECT("R6.Voz!D"&amp;SUM(18,38*12,27))))</f>
        <v>N/T</v>
      </c>
      <c r="U46" s="215" t="str" cm="1">
        <f t="array" aca="1" ref="U46" ca="1">IF($B46="","",IF(ISBLANK(INDIRECT("R6.Voz!D"&amp;SUM(18,38*13,27))),"",INDIRECT("R6.Voz!D"&amp;SUM(18,38*13,27))))</f>
        <v>N/T</v>
      </c>
      <c r="V46" s="215" t="str" cm="1">
        <f t="array" aca="1" ref="V46" ca="1">IF($B46="","",IF(ISBLANK(INDIRECT("R6.Voz!D"&amp;SUM(18,38*14,27))),"",INDIRECT("R6.Voz!D"&amp;SUM(18,38*14,27))))</f>
        <v>N/T</v>
      </c>
      <c r="W46" s="215" t="str" cm="1">
        <f t="array" aca="1" ref="W46" ca="1">IF($B46="","",IF(ISBLANK(INDIRECT("R6.Voz!D"&amp;SUM(18,38*15,27))),"",INDIRECT("R6.Voz!D"&amp;SUM(18,38*15,27))))</f>
        <v>N/T</v>
      </c>
      <c r="X46" s="215" t="str" cm="1">
        <f t="array" aca="1" ref="X46" ca="1">IF($B46="","",IF(ISBLANK(INDIRECT("R6.Voz!D"&amp;SUM(18,38*16,27))),"",INDIRECT("R6.Voz!D"&amp;SUM(18,38*16,27))))</f>
        <v>N/T</v>
      </c>
      <c r="Y46" s="215" t="str" cm="1">
        <f t="array" aca="1" ref="Y46" ca="1">IF($B46="","",IF(ISBLANK(INDIRECT("R6.Voz!D"&amp;SUM(18,38*17,27))),"",INDIRECT("R6.Voz!D"&amp;SUM(18,38*17,27))))</f>
        <v>N/T</v>
      </c>
      <c r="Z46" s="215" t="str" cm="1">
        <f t="array" aca="1" ref="Z46" ca="1">IF($B46="","",IF(ISBLANK(INDIRECT("R6.Voz!D"&amp;SUM(18,38*18,27))),"",INDIRECT("R6.Voz!D"&amp;SUM(18,38*18,27))))</f>
        <v>N/T</v>
      </c>
      <c r="AA46" s="215" t="str" cm="1">
        <f t="array" aca="1" ref="AA46" ca="1">IF($B46="","",IF(ISBLANK(INDIRECT("R7.Video!D"&amp;SUM(18,38*0,27))),"",INDIRECT("R7.Video!D"&amp;SUM(18,38*0,27))))</f>
        <v>N/T</v>
      </c>
      <c r="AB46" s="215" t="str" cm="1">
        <f t="array" aca="1" ref="AB46" ca="1">IF($B46="","",IF(ISBLANK(INDIRECT("R7.Video!D"&amp;SUM(18,38*1,27))),"",INDIRECT("R7.Video!D"&amp;SUM(18,38*1,27))))</f>
        <v>N/T</v>
      </c>
      <c r="AC46" s="215" t="str" cm="1">
        <f t="array" aca="1" ref="AC46" ca="1">IF($B46="","",IF(ISBLANK(INDIRECT("R7.Video!D"&amp;SUM(18,38*2,27))),"",INDIRECT("R7.Video!D"&amp;SUM(18,38*2,27))))</f>
        <v>N/T</v>
      </c>
      <c r="AD46" s="215" t="str" cm="1">
        <f t="array" aca="1" ref="AD46" ca="1">IF($B46="","",IF(ISBLANK(INDIRECT("R7.Video!D"&amp;SUM(18,38*3,27))),"",INDIRECT("R7.Video!D"&amp;SUM(18,38*3,27))))</f>
        <v>N/T</v>
      </c>
      <c r="AE46" s="215" t="str" cm="1">
        <f t="array" aca="1" ref="AE46" ca="1">IF($B46="","",IF(ISBLANK(INDIRECT("R7.Video!D"&amp;SUM(18,38*4,27))),"",INDIRECT("R7.Video!D"&amp;SUM(18,38*4,27))))</f>
        <v>N/T</v>
      </c>
      <c r="AF46" s="215" t="str" cm="1">
        <f t="array" aca="1" ref="AF46" ca="1">IF($B46="","",IF(ISBLANK(INDIRECT("R7.Video!D"&amp;SUM(18,38*5,27))),"",INDIRECT("R7.Video!D"&amp;SUM(18,38*5,27))))</f>
        <v>N/T</v>
      </c>
      <c r="AG46" s="215" t="str" cm="1">
        <f t="array" aca="1" ref="AG46" ca="1">IF($B46="","",IF(ISBLANK(INDIRECT("R7.Video!D"&amp;SUM(18,38*6,27))),"",INDIRECT("R7.Video!D"&amp;SUM(18,38*6,27))))</f>
        <v>N/T</v>
      </c>
      <c r="AH46" s="215" t="str" cm="1">
        <f t="array" aca="1" ref="AH46" ca="1">IF($B46="","",IF(ISBLANK(INDIRECT("R7.Video!D"&amp;SUM(18,38*7,27))),"",INDIRECT("R7.Video!D"&amp;SUM(18,38*7,27))))</f>
        <v>N/T</v>
      </c>
      <c r="AI46" s="215" t="str" cm="1">
        <f t="array" aca="1" ref="AI46" ca="1">IF($B46="","",IF(ISBLANK(INDIRECT("R7.Video!D"&amp;SUM(18,38*8,27))),"",INDIRECT("R7.Video!D"&amp;SUM(18,38*8,27))))</f>
        <v>N/T</v>
      </c>
      <c r="AJ46" s="215" t="str" cm="1">
        <f t="array" aca="1" ref="AJ46" ca="1">IF($B46="","",IF(ISBLANK(INDIRECT("R9.Web!D"&amp;SUM(18,38*0,27))),"",INDIRECT("R9.Web!D"&amp;SUM(18,38*0,27))))</f>
        <v>N/D</v>
      </c>
      <c r="AK46" s="215" t="str" cm="1">
        <f t="array" aca="1" ref="AK46" ca="1">IF($B46="","",IF(ISBLANK(INDIRECT("R9.Web!D"&amp;SUM(18,38*1,27))),"",INDIRECT("R9.Web!D"&amp;SUM(18,38*1,27))))</f>
        <v>N/T</v>
      </c>
      <c r="AL46" s="215" t="str" cm="1">
        <f t="array" aca="1" ref="AL46" ca="1">IF($B46="","",IF(ISBLANK(INDIRECT("R9.Web!D"&amp;SUM(18,38*2,27))),"",INDIRECT("R9.Web!D"&amp;SUM(18,38*2,27))))</f>
        <v>N/T</v>
      </c>
      <c r="AM46" s="215" t="str" cm="1">
        <f t="array" aca="1" ref="AM46" ca="1">IF($B46="","",IF(ISBLANK(INDIRECT("R9.Web!D"&amp;SUM(18,38*3,27))),"",INDIRECT("R9.Web!D"&amp;SUM(18,38*3,27))))</f>
        <v>N/T</v>
      </c>
      <c r="AN46" s="215" t="str" cm="1">
        <f t="array" aca="1" ref="AN46" ca="1">IF($B46="","",IF(ISBLANK(INDIRECT("R9.Web!D"&amp;SUM(18,38*4,27))),"",INDIRECT("R9.Web!D"&amp;SUM(18,38*4,27))))</f>
        <v>N/T</v>
      </c>
      <c r="AO46" s="215" t="str" cm="1">
        <f t="array" aca="1" ref="AO46" ca="1">IF($B46="","",IF(ISBLANK(INDIRECT("R9.Web!D"&amp;SUM(18,38*5,27))),"",INDIRECT("R9.Web!D"&amp;SUM(18,38*5,27))))</f>
        <v>N/D</v>
      </c>
      <c r="AP46" s="215" t="str" cm="1">
        <f t="array" aca="1" ref="AP46" ca="1">IF($B46="","",IF(ISBLANK(INDIRECT("R9.Web!D"&amp;SUM(18,38*6,27))),"",INDIRECT("R9.Web!D"&amp;SUM(18,38*6,27))))</f>
        <v>N/T</v>
      </c>
      <c r="AQ46" s="215" t="str" cm="1">
        <f t="array" aca="1" ref="AQ46" ca="1">IF($B46="","",IF(ISBLANK(INDIRECT("R9.Web!D"&amp;SUM(18,38*7,27))),"",INDIRECT("R9.Web!D"&amp;SUM(18,38*7,27))))</f>
        <v>N/T</v>
      </c>
      <c r="AR46" s="215" t="str" cm="1">
        <f t="array" aca="1" ref="AR46" ca="1">IF($B46="","",IF(ISBLANK(INDIRECT("R9.Web!D"&amp;SUM(18,38*8,27))),"",INDIRECT("R9.Web!D"&amp;SUM(18,38*8,27))))</f>
        <v>N/D</v>
      </c>
      <c r="AS46" s="215" t="str" cm="1">
        <f t="array" aca="1" ref="AS46" ca="1">IF($B46="","",IF(ISBLANK(INDIRECT("R9.Web!D"&amp;SUM(18,38*9,27))),"",INDIRECT("R9.Web!D"&amp;SUM(18,38*9,27))))</f>
        <v>N/D</v>
      </c>
      <c r="AT46" s="215" t="str" cm="1">
        <f t="array" aca="1" ref="AT46" ca="1">IF($B46="","",IF(ISBLANK(INDIRECT("R9.Web!D"&amp;SUM(18,38*10,27))),"",INDIRECT("R9.Web!D"&amp;SUM(18,38*10,27))))</f>
        <v>N/T</v>
      </c>
      <c r="AU46" s="215" t="str" cm="1">
        <f t="array" aca="1" ref="AU46" ca="1">IF($B46="","",IF(ISBLANK(INDIRECT("R9.Web!D"&amp;SUM(18,38*11,27))),"",INDIRECT("R9.Web!D"&amp;SUM(18,38*11,27))))</f>
        <v>N/T</v>
      </c>
      <c r="AV46" s="215" t="str" cm="1">
        <f t="array" aca="1" ref="AV46" ca="1">IF($B46="","",IF(ISBLANK(INDIRECT("R9.Web!D"&amp;SUM(18,38*12,27))),"",INDIRECT("R9.Web!D"&amp;SUM(18,38*12,27))))</f>
        <v>N/D</v>
      </c>
      <c r="AW46" s="215" t="str" cm="1">
        <f t="array" aca="1" ref="AW46" ca="1">IF($B46="","",IF(ISBLANK(INDIRECT("R9.Web!D"&amp;SUM(18,38*13,27))),"",INDIRECT("R9.Web!D"&amp;SUM(18,38*13,27))))</f>
        <v>N/T</v>
      </c>
      <c r="AX46" s="215" t="str" cm="1">
        <f t="array" aca="1" ref="AX46" ca="1">IF($B46="","",IF(ISBLANK(INDIRECT("R9.Web!D"&amp;SUM(18,38*14,27))),"",INDIRECT("R9.Web!D"&amp;SUM(18,38*14,27))))</f>
        <v>N/T</v>
      </c>
      <c r="AY46" s="215" t="str" cm="1">
        <f t="array" aca="1" ref="AY46" ca="1">IF($B46="","",IF(ISBLANK(INDIRECT("R9.Web!D"&amp;SUM(18,38*15,27))),"",INDIRECT("R9.Web!D"&amp;SUM(18,38*15,27))))</f>
        <v>N/D</v>
      </c>
      <c r="AZ46" s="215" t="str" cm="1">
        <f t="array" aca="1" ref="AZ46" ca="1">IF($B46="","",IF(ISBLANK(INDIRECT("R9.Web!D"&amp;SUM(18,38*16,27))),"",INDIRECT("R9.Web!D"&amp;SUM(18,38*16,27))))</f>
        <v>N/T</v>
      </c>
      <c r="BA46" s="215" t="str" cm="1">
        <f t="array" aca="1" ref="BA46" ca="1">IF($B46="","",IF(ISBLANK(INDIRECT("R9.Web!D"&amp;SUM(18,38*17,27))),"",INDIRECT("R9.Web!D"&amp;SUM(18,38*17,27))))</f>
        <v>N/D</v>
      </c>
      <c r="BB46" s="215" t="str" cm="1">
        <f t="array" aca="1" ref="BB46" ca="1">IF($B46="","",IF(ISBLANK(INDIRECT("R9.Web!D"&amp;SUM(18,38*18,27))),"",INDIRECT("R9.Web!D"&amp;SUM(18,38*18,27))))</f>
        <v>N/T</v>
      </c>
      <c r="BC46" s="215" t="str" cm="1">
        <f t="array" aca="1" ref="BC46" ca="1">IF($B46="","",IF(ISBLANK(INDIRECT("R9.Web!D"&amp;SUM(18,38*19,27))),"",INDIRECT("R9.Web!D"&amp;SUM(18,38*19,27))))</f>
        <v>N/D</v>
      </c>
      <c r="BD46" s="215" t="str" cm="1">
        <f t="array" aca="1" ref="BD46" ca="1">IF($B46="","",IF(ISBLANK(INDIRECT("R9.Web!D"&amp;SUM(18,38*20,27))),"",INDIRECT("R9.Web!D"&amp;SUM(18,38*20,27))))</f>
        <v>N/T</v>
      </c>
      <c r="BE46" s="215" t="str" cm="1">
        <f t="array" aca="1" ref="BE46" ca="1">IF($B46="","",IF(ISBLANK(INDIRECT("R9.Web!D"&amp;SUM(18,38*21,27))),"",INDIRECT("R9.Web!D"&amp;SUM(18,38*21,27))))</f>
        <v>N/T</v>
      </c>
      <c r="BF46" s="215" t="str" cm="1">
        <f t="array" aca="1" ref="BF46" ca="1">IF($B46="","",IF(ISBLANK(INDIRECT("R9.Web!D"&amp;SUM(18,38*22,27))),"",INDIRECT("R9.Web!D"&amp;SUM(18,38*22,27))))</f>
        <v>N/D</v>
      </c>
      <c r="BG46" s="215" t="str" cm="1">
        <f t="array" aca="1" ref="BG46" ca="1">IF($B46="","",IF(ISBLANK(INDIRECT("R9.Web!D"&amp;SUM(18,38*23,27))),"",INDIRECT("R9.Web!D"&amp;SUM(18,38*23,27))))</f>
        <v>N/D</v>
      </c>
      <c r="BH46" s="215" t="str" cm="1">
        <f t="array" aca="1" ref="BH46" ca="1">IF($B46="","",IF(ISBLANK(INDIRECT("R9.Web!D"&amp;SUM(18,38*24,27))),"",INDIRECT("R9.Web!D"&amp;SUM(18,38*24,27))))</f>
        <v>N/T</v>
      </c>
      <c r="BI46" s="215" t="str" cm="1">
        <f t="array" aca="1" ref="BI46" ca="1">IF($B46="","",IF(ISBLANK(INDIRECT("R9.Web!D"&amp;SUM(18,38*25,27))),"",INDIRECT("R9.Web!D"&amp;SUM(18,38*25,27))))</f>
        <v>N/D</v>
      </c>
      <c r="BJ46" s="215" t="str" cm="1">
        <f t="array" aca="1" ref="BJ46" ca="1">IF($B46="","",IF(ISBLANK(INDIRECT("R9.Web!D"&amp;SUM(18,38*26,27))),"",INDIRECT("R9.Web!D"&amp;SUM(18,38*26,27))))</f>
        <v>N/D</v>
      </c>
      <c r="BK46" s="215" t="str" cm="1">
        <f t="array" aca="1" ref="BK46" ca="1">IF($B46="","",IF(ISBLANK(INDIRECT("R9.Web!D"&amp;SUM(18,38*27,27))),"",INDIRECT("R9.Web!D"&amp;SUM(18,38*27,27))))</f>
        <v>N/D</v>
      </c>
      <c r="BL46" s="215" t="str" cm="1">
        <f t="array" aca="1" ref="BL46" ca="1">IF($B46="","",IF(ISBLANK(INDIRECT("R9.Web!D"&amp;SUM(18,38*28,27))),"",INDIRECT("R9.Web!D"&amp;SUM(18,38*28,27))))</f>
        <v>N/D</v>
      </c>
      <c r="BM46" s="215" t="str" cm="1">
        <f t="array" aca="1" ref="BM46" ca="1">IF($B46="","",IF(ISBLANK(INDIRECT("R9.Web!D"&amp;SUM(18,38*29,27))),"",INDIRECT("R9.Web!D"&amp;SUM(18,38*29,27))))</f>
        <v>N/D</v>
      </c>
      <c r="BN46" s="215" t="str" cm="1">
        <f t="array" aca="1" ref="BN46" ca="1">IF($B46="","",IF(ISBLANK(INDIRECT("R9.Web!D"&amp;SUM(18,38*30,27))),"",INDIRECT("R9.Web!D"&amp;SUM(18,38*30,27))))</f>
        <v>N/T</v>
      </c>
      <c r="BO46" s="215" t="str" cm="1">
        <f t="array" aca="1" ref="BO46" ca="1">IF($B46="","",IF(ISBLANK(INDIRECT("R9.Web!D"&amp;SUM(18,38*31,27))),"",INDIRECT("R9.Web!D"&amp;SUM(18,38*31,27))))</f>
        <v>N/D</v>
      </c>
      <c r="BP46" s="215" t="str" cm="1">
        <f t="array" aca="1" ref="BP46" ca="1">IF($B46="","",IF(ISBLANK(INDIRECT("R9.Web!D"&amp;SUM(18,38*32,27))),"",INDIRECT("R9.Web!D"&amp;SUM(18,38*32,27))))</f>
        <v>N/T</v>
      </c>
      <c r="BQ46" s="215" t="str" cm="1">
        <f t="array" aca="1" ref="BQ46" ca="1">IF($B46="","",IF(ISBLANK(INDIRECT("R9.Web!D"&amp;SUM(18,38*33,27))),"",INDIRECT("R9.Web!D"&amp;SUM(18,38*33,27))))</f>
        <v>N/T</v>
      </c>
      <c r="BR46" s="215" t="str" cm="1">
        <f t="array" aca="1" ref="BR46" ca="1">IF($B46="","",IF(ISBLANK(INDIRECT("R9.Web!D"&amp;SUM(18,38*34,27))),"",INDIRECT("R9.Web!D"&amp;SUM(18,38*34,27))))</f>
        <v>N/D</v>
      </c>
      <c r="BS46" s="215" t="str" cm="1">
        <f t="array" aca="1" ref="BS46" ca="1">IF($B46="","",IF(ISBLANK(INDIRECT("R9.Web!D"&amp;SUM(18,38*35,27))),"",INDIRECT("R9.Web!D"&amp;SUM(18,38*35,27))))</f>
        <v>N/T</v>
      </c>
      <c r="BT46" s="215" t="str" cm="1">
        <f t="array" aca="1" ref="BT46" ca="1">IF($B46="","",IF(ISBLANK(INDIRECT("R9.Web!D"&amp;SUM(18,38*36,27))),"",INDIRECT("R9.Web!D"&amp;SUM(18,38*36,27))))</f>
        <v>N/D</v>
      </c>
      <c r="BU46" s="215" t="str" cm="1">
        <f t="array" aca="1" ref="BU46" ca="1">IF($B46="","",IF(ISBLANK(INDIRECT("R9.Web!D"&amp;SUM(18,38*37,27))),"",INDIRECT("R9.Web!D"&amp;SUM(18,38*37,27))))</f>
        <v>N/D</v>
      </c>
      <c r="BV46" s="215" t="str" cm="1">
        <f t="array" aca="1" ref="BV46" ca="1">IF($B46="","",IF(ISBLANK(INDIRECT("R9.Web!D"&amp;SUM(18,38*38,27))),"",INDIRECT("R9.Web!D"&amp;SUM(18,38*38,27))))</f>
        <v>N/D</v>
      </c>
      <c r="BW46" s="215" t="str" cm="1">
        <f t="array" aca="1" ref="BW46" ca="1">IF($B46="","",IF(ISBLANK(INDIRECT("R9.Web!D"&amp;SUM(18,38*39,27))),"",INDIRECT("R9.Web!D"&amp;SUM(18,38*39,27))))</f>
        <v>N/D</v>
      </c>
      <c r="BX46" s="215" t="str" cm="1">
        <f t="array" aca="1" ref="BX46" ca="1">IF($B46="","",IF(ISBLANK(INDIRECT("R9.Web!D"&amp;SUM(18,38*40,27))),"",INDIRECT("R9.Web!D"&amp;SUM(18,38*40,27))))</f>
        <v>N/D</v>
      </c>
      <c r="BY46" s="215" t="str" cm="1">
        <f t="array" aca="1" ref="BY46" ca="1">IF($B46="","",IF(ISBLANK(INDIRECT("R9.Web!D"&amp;SUM(18,38*41,27))),"",INDIRECT("R9.Web!D"&amp;SUM(18,38*41,27))))</f>
        <v>N/T</v>
      </c>
      <c r="BZ46" s="215" t="str" cm="1">
        <f t="array" aca="1" ref="BZ46" ca="1">IF($B46="","",IF(ISBLANK(INDIRECT("R9.Web!D"&amp;SUM(18,38*42,27))),"",INDIRECT("R9.Web!D"&amp;SUM(18,38*42,27))))</f>
        <v>N/T</v>
      </c>
      <c r="CA46" s="215" t="str" cm="1">
        <f t="array" aca="1" ref="CA46" ca="1">IF($B46="","",IF(ISBLANK(INDIRECT("R9.Web!D"&amp;SUM(18,38*43,27))),"",INDIRECT("R9.Web!D"&amp;SUM(18,38*43,27))))</f>
        <v>N/D</v>
      </c>
      <c r="CB46" s="215" t="str" cm="1">
        <f t="array" aca="1" ref="CB46" ca="1">IF($B46="","",IF(ISBLANK(INDIRECT("R9.Web!D"&amp;SUM(18,38*44,27))),"",INDIRECT("R9.Web!D"&amp;SUM(18,38*44,27))))</f>
        <v>N/T</v>
      </c>
      <c r="CC46" s="215" t="str" cm="1">
        <f t="array" aca="1" ref="CC46" ca="1">IF($B46="","",IF(ISBLANK(INDIRECT("R9.Web!D"&amp;SUM(18,38*45,27))),"",INDIRECT("R9.Web!D"&amp;SUM(18,38*45,27))))</f>
        <v>N/T</v>
      </c>
      <c r="CD46" s="215" t="str" cm="1">
        <f t="array" aca="1" ref="CD46" ca="1">IF($B46="","",IF(ISBLANK(INDIRECT("R9.Web!D"&amp;SUM(18,38*46,27))),"",INDIRECT("R9.Web!D"&amp;SUM(18,38*46,27))))</f>
        <v>N/T</v>
      </c>
      <c r="CE46" s="215" t="str" cm="1">
        <f t="array" aca="1" ref="CE46" ca="1">IF($B46="","",IF(ISBLANK(INDIRECT("R9.Web!D"&amp;SUM(18,38*47,27))),"",INDIRECT("R9.Web!D"&amp;SUM(18,38*47,27))))</f>
        <v>N/D</v>
      </c>
      <c r="CF46" s="215" t="str" cm="1">
        <f t="array" aca="1" ref="CF46" ca="1">IF($B46="","",IF(ISBLANK(INDIRECT("R9.Web!D"&amp;SUM(18,38*48,27))),"",INDIRECT("R9.Web!D"&amp;SUM(18,38*48,27))))</f>
        <v>N/T</v>
      </c>
      <c r="CG46" s="215" t="str" cm="1">
        <f t="array" aca="1" ref="CG46" ca="1">IF($B46="","",IF(ISBLANK(INDIRECT("R9.Web!D"&amp;SUM(18,38*49,27))),"",INDIRECT("R9.Web!D"&amp;SUM(18,38*49,27))))</f>
        <v>N/T</v>
      </c>
      <c r="CH46" s="215" t="str" cm="1">
        <f t="array" aca="1" ref="CH46" ca="1">IF($B46="","",IF(ISBLANK(INDIRECT("R11.Software!D"&amp;SUM(18,38*0,27))),"",INDIRECT("R11.Software!D"&amp;SUM(18,38*0,27))))</f>
        <v>N/T</v>
      </c>
      <c r="CI46" s="215" t="str" cm="1">
        <f t="array" aca="1" ref="CI46" ca="1">IF($B46="","",IF(ISBLANK(INDIRECT("R11.Software!D"&amp;SUM(18,38*1,27))),"",INDIRECT("R11.Software!D"&amp;SUM(18,38*1,27))))</f>
        <v>N/T</v>
      </c>
      <c r="CJ46" s="215" t="str" cm="1">
        <f t="array" aca="1" ref="CJ46" ca="1">IF($B46="","",IF(ISBLANK(INDIRECT("R11.Software!D"&amp;SUM(18,38*2,27))),"",INDIRECT("R11.Software!D"&amp;SUM(18,38*2,27))))</f>
        <v>N/T</v>
      </c>
      <c r="CK46" s="215" t="str" cm="1">
        <f t="array" aca="1" ref="CK46" ca="1">IF($B46="","",IF(ISBLANK(INDIRECT("R11.Software!D"&amp;SUM(18,38*3,27))),"",INDIRECT("R11.Software!D"&amp;SUM(18,38*3,27))))</f>
        <v>N/T</v>
      </c>
      <c r="CL46" s="215" t="str" cm="1">
        <f t="array" aca="1" ref="CL46" ca="1">IF($B46="","",IF(ISBLANK(INDIRECT("R11.Software!D"&amp;SUM(18,38*4,27))),"",INDIRECT("R11.Software!D"&amp;SUM(18,38*4,27))))</f>
        <v>N/T</v>
      </c>
      <c r="CM46" s="215" t="str" cm="1">
        <f t="array" aca="1" ref="CM46" ca="1">IF($B46="","",IF(ISBLANK(INDIRECT("R11.Software!D"&amp;SUM(18,38*5,27))),"",INDIRECT("R11.Software!D"&amp;SUM(18,38*5,27))))</f>
        <v>N/T</v>
      </c>
      <c r="CN46" s="215" t="str" cm="1">
        <f t="array" aca="1" ref="CN46" ca="1">IF($B46="","",IF(ISBLANK(INDIRECT("R12.ServiciosApoyo!D"&amp;SUM(18,38*0,27))),"",INDIRECT("R12.ServiciosApoyo!D"&amp;SUM(18,38*0,27))))</f>
        <v>N/T</v>
      </c>
      <c r="CO46" s="215" t="str" cm="1">
        <f t="array" aca="1" ref="CO46" ca="1">IF($B46="","",IF(ISBLANK(INDIRECT("R12.ServiciosApoyo!D"&amp;SUM(18,38*1,27))),"",INDIRECT("R12.ServiciosApoyo!D"&amp;SUM(18,38*1,27))))</f>
        <v>N/T</v>
      </c>
      <c r="CP46" s="215" t="str" cm="1">
        <f t="array" aca="1" ref="CP46" ca="1">IF($B46="","",IF(ISBLANK(INDIRECT("R12.ServiciosApoyo!D"&amp;SUM(18,38*2,27))),"",INDIRECT("R12.ServiciosApoyo!D"&amp;SUM(18,38*2,27))))</f>
        <v>N/T</v>
      </c>
      <c r="CQ46" s="215" t="str" cm="1">
        <f t="array" aca="1" ref="CQ46" ca="1">IF($B46="","",IF(ISBLANK(INDIRECT("R12.ServiciosApoyo!D"&amp;SUM(18,38*3,27))),"",INDIRECT("R12.ServiciosApoyo!D"&amp;SUM(18,38*3,27))))</f>
        <v>N/T</v>
      </c>
      <c r="CR46" s="215" t="str" cm="1">
        <f t="array" aca="1" ref="CR46" ca="1">IF($B46="","",IF(ISBLANK(INDIRECT("R12.ServiciosApoyo!D"&amp;SUM(18,38*4,27))),"",INDIRECT("R12.ServiciosApoyo!D"&amp;SUM(18,38*4,27))))</f>
        <v>N/T</v>
      </c>
      <c r="CU46" s="100"/>
      <c r="CV46" s="29"/>
      <c r="CW46" s="29"/>
      <c r="CX46" s="29"/>
    </row>
    <row r="47" spans="2:102" ht="20.25">
      <c r="B47" s="181" t="n" cm="1">
        <f t="array" ref="B47">IFERROR(INDEX('03.Muestra'!$B$8:$B$42,SMALL(IF("Página Web"='03.Muestra'!$D$8:$D$42,ROW('03.Muestra'!$B$8:$B$42)-MIN(ROW('03.Muestra'!$D$8:$D$42))+1,""),ROW()-19)),"")</f>
        <v>1.0</v>
      </c>
      <c r="C47" s="97" t="str" cm="1">
        <f t="array" ref="C47">IFERROR(INDEX('03.Muestra'!$C$8:$C$42,SMALL(IF("Página Web"='03.Muestra'!$D$8:$D$42,ROW('03.Muestra'!$C$8:$C$42)-MIN(ROW('03.Muestra'!$D$8:$D$42))+1,""),ROW()-19)),"")</f>
        <v>Home - PortCastelló</v>
      </c>
      <c r="D47" s="98" t="str" cm="1">
        <f t="array" ref="D47">IFERROR(INDEX('03.Muestra'!$F$8:$F$42,SMALL(IF("Página Web"='03.Muestra'!$D$8:$D$42,ROW('03.Muestra'!$F$8:$F$42)-MIN(ROW('03.Muestra'!$D$8:$D$42))+1,""),ROW()-19)),"")</f>
        <v>https://www.portcastello.com/</v>
      </c>
      <c r="E47" s="215" t="str" cm="1">
        <f t="array" aca="1" ref="E47" ca="1">IF($B47="","",IF(ISBLANK(INDIRECT("R5.Genéricos!D"&amp;SUM(18,38*0,28))),"",INDIRECT("R5.Genéricos!D"&amp;SUM(18,38*0,28))))</f>
        <v>N/T</v>
      </c>
      <c r="F47" s="215" t="str" cm="1">
        <f t="array" aca="1" ref="F47" ca="1">IF($B47="","",IF(ISBLANK(INDIRECT("R5.Genéricos!D"&amp;SUM(18,38*1,28))),"",INDIRECT("R5.Genéricos!D"&amp;SUM(18,38*1,28))))</f>
        <v>N/T</v>
      </c>
      <c r="G47" s="215" t="str" cm="1">
        <f t="array" aca="1" ref="G47" ca="1">IF($B47="","",IF(ISBLANK(INDIRECT("R5.Genéricos!D"&amp;SUM(18,38*2,28))),"",INDIRECT("R5.Genéricos!D"&amp;SUM(18,38*2,28))))</f>
        <v>N/T</v>
      </c>
      <c r="H47" s="215" t="str" cm="1">
        <f t="array" aca="1" ref="H47" ca="1">IF($B47="","",IF(ISBLANK(INDIRECT("R6.Voz!D"&amp;SUM(18,38*0,28))),"",INDIRECT("R6.Voz!D"&amp;SUM(18,38*0,28))))</f>
        <v>N/T</v>
      </c>
      <c r="I47" s="215" t="str" cm="1">
        <f t="array" aca="1" ref="I47" ca="1">IF($B47="","",IF(ISBLANK(INDIRECT("R6.Voz!D"&amp;SUM(18,38*1,28))),"",INDIRECT("R6.Voz!D"&amp;SUM(18,38*1,28))))</f>
        <v>N/T</v>
      </c>
      <c r="J47" s="215" t="str" cm="1">
        <f t="array" aca="1" ref="J47" ca="1">IF($B47="","",IF(ISBLANK(INDIRECT("R6.Voz!D"&amp;SUM(18,38*2,28))),"",INDIRECT("R6.Voz!D"&amp;SUM(18,38*2,28))))</f>
        <v>N/T</v>
      </c>
      <c r="K47" s="215" t="str" cm="1">
        <f t="array" aca="1" ref="K47" ca="1">IF($B47="","",IF(ISBLANK(INDIRECT("R6.Voz!D"&amp;SUM(18,38*3,28))),"",INDIRECT("R6.Voz!D"&amp;SUM(18,38*3,28))))</f>
        <v>N/T</v>
      </c>
      <c r="L47" s="215" t="str" cm="1">
        <f t="array" aca="1" ref="L47" ca="1">IF($B47="","",IF(ISBLANK(INDIRECT("R6.Voz!D"&amp;SUM(18,38*4,28))),"",INDIRECT("R6.Voz!D"&amp;SUM(18,38*4,28))))</f>
        <v>N/T</v>
      </c>
      <c r="M47" s="215" t="str" cm="1">
        <f t="array" aca="1" ref="M47" ca="1">IF($B47="","",IF(ISBLANK(INDIRECT("R6.Voz!D"&amp;SUM(18,38*5,28))),"",INDIRECT("R6.Voz!D"&amp;SUM(18,38*5,28))))</f>
        <v>N/T</v>
      </c>
      <c r="N47" s="215" t="str" cm="1">
        <f t="array" aca="1" ref="N47" ca="1">IF($B47="","",IF(ISBLANK(INDIRECT("R6.Voz!D"&amp;SUM(18,38*6,28))),"",INDIRECT("R6.Voz!D"&amp;SUM(18,38*6,28))))</f>
        <v>N/T</v>
      </c>
      <c r="O47" s="215" t="str" cm="1">
        <f t="array" aca="1" ref="O47" ca="1">IF($B47="","",IF(ISBLANK(INDIRECT("R6.Voz!D"&amp;SUM(18,38*7,28))),"",INDIRECT("R6.Voz!D"&amp;SUM(18,38*7,28))))</f>
        <v>N/T</v>
      </c>
      <c r="P47" s="215" t="str" cm="1">
        <f t="array" aca="1" ref="P47" ca="1">IF($B47="","",IF(ISBLANK(INDIRECT("R6.Voz!D"&amp;SUM(18,38*8,28))),"",INDIRECT("R6.Voz!D"&amp;SUM(18,38*8,28))))</f>
        <v>N/T</v>
      </c>
      <c r="Q47" s="215" t="str" cm="1">
        <f t="array" aca="1" ref="Q47" ca="1">IF($B47="","",IF(ISBLANK(INDIRECT("R6.Voz!D"&amp;SUM(18,38*9,28))),"",INDIRECT("R6.Voz!D"&amp;SUM(18,38*9,28))))</f>
        <v>N/T</v>
      </c>
      <c r="R47" s="215" t="str" cm="1">
        <f t="array" aca="1" ref="R47" ca="1">IF($B47="","",IF(ISBLANK(INDIRECT("R6.Voz!D"&amp;SUM(18,38*10,28))),"",INDIRECT("R6.Voz!D"&amp;SUM(18,38*10,28))))</f>
        <v>N/T</v>
      </c>
      <c r="S47" s="215" t="str" cm="1">
        <f t="array" aca="1" ref="S47" ca="1">IF($B47="","",IF(ISBLANK(INDIRECT("R6.Voz!D"&amp;SUM(18,38*11,28))),"",INDIRECT("R6.Voz!D"&amp;SUM(18,38*11,28))))</f>
        <v>N/T</v>
      </c>
      <c r="T47" s="215" t="str" cm="1">
        <f t="array" aca="1" ref="T47" ca="1">IF($B47="","",IF(ISBLANK(INDIRECT("R6.Voz!D"&amp;SUM(18,38*12,28))),"",INDIRECT("R6.Voz!D"&amp;SUM(18,38*12,28))))</f>
        <v>N/T</v>
      </c>
      <c r="U47" s="215" t="str" cm="1">
        <f t="array" aca="1" ref="U47" ca="1">IF($B47="","",IF(ISBLANK(INDIRECT("R6.Voz!D"&amp;SUM(18,38*13,28))),"",INDIRECT("R6.Voz!D"&amp;SUM(18,38*13,28))))</f>
        <v>N/T</v>
      </c>
      <c r="V47" s="215" t="str" cm="1">
        <f t="array" aca="1" ref="V47" ca="1">IF($B47="","",IF(ISBLANK(INDIRECT("R6.Voz!D"&amp;SUM(18,38*14,28))),"",INDIRECT("R6.Voz!D"&amp;SUM(18,38*14,28))))</f>
        <v>N/T</v>
      </c>
      <c r="W47" s="215" t="str" cm="1">
        <f t="array" aca="1" ref="W47" ca="1">IF($B47="","",IF(ISBLANK(INDIRECT("R6.Voz!D"&amp;SUM(18,38*15,28))),"",INDIRECT("R6.Voz!D"&amp;SUM(18,38*15,28))))</f>
        <v>N/T</v>
      </c>
      <c r="X47" s="215" t="str" cm="1">
        <f t="array" aca="1" ref="X47" ca="1">IF($B47="","",IF(ISBLANK(INDIRECT("R6.Voz!D"&amp;SUM(18,38*16,28))),"",INDIRECT("R6.Voz!D"&amp;SUM(18,38*16,28))))</f>
        <v>N/T</v>
      </c>
      <c r="Y47" s="215" t="str" cm="1">
        <f t="array" aca="1" ref="Y47" ca="1">IF($B47="","",IF(ISBLANK(INDIRECT("R6.Voz!D"&amp;SUM(18,38*17,28))),"",INDIRECT("R6.Voz!D"&amp;SUM(18,38*17,28))))</f>
        <v>N/T</v>
      </c>
      <c r="Z47" s="215" t="str" cm="1">
        <f t="array" aca="1" ref="Z47" ca="1">IF($B47="","",IF(ISBLANK(INDIRECT("R6.Voz!D"&amp;SUM(18,38*18,28))),"",INDIRECT("R6.Voz!D"&amp;SUM(18,38*18,28))))</f>
        <v>N/T</v>
      </c>
      <c r="AA47" s="215" t="str" cm="1">
        <f t="array" aca="1" ref="AA47" ca="1">IF($B47="","",IF(ISBLANK(INDIRECT("R7.Video!D"&amp;SUM(18,38*0,28))),"",INDIRECT("R7.Video!D"&amp;SUM(18,38*0,28))))</f>
        <v>N/T</v>
      </c>
      <c r="AB47" s="215" t="str" cm="1">
        <f t="array" aca="1" ref="AB47" ca="1">IF($B47="","",IF(ISBLANK(INDIRECT("R7.Video!D"&amp;SUM(18,38*1,28))),"",INDIRECT("R7.Video!D"&amp;SUM(18,38*1,28))))</f>
        <v>N/T</v>
      </c>
      <c r="AC47" s="215" t="str" cm="1">
        <f t="array" aca="1" ref="AC47" ca="1">IF($B47="","",IF(ISBLANK(INDIRECT("R7.Video!D"&amp;SUM(18,38*2,28))),"",INDIRECT("R7.Video!D"&amp;SUM(18,38*2,28))))</f>
        <v>N/T</v>
      </c>
      <c r="AD47" s="215" t="str" cm="1">
        <f t="array" aca="1" ref="AD47" ca="1">IF($B47="","",IF(ISBLANK(INDIRECT("R7.Video!D"&amp;SUM(18,38*3,28))),"",INDIRECT("R7.Video!D"&amp;SUM(18,38*3,28))))</f>
        <v>N/T</v>
      </c>
      <c r="AE47" s="215" t="str" cm="1">
        <f t="array" aca="1" ref="AE47" ca="1">IF($B47="","",IF(ISBLANK(INDIRECT("R7.Video!D"&amp;SUM(18,38*4,28))),"",INDIRECT("R7.Video!D"&amp;SUM(18,38*4,28))))</f>
        <v>N/T</v>
      </c>
      <c r="AF47" s="215" t="str" cm="1">
        <f t="array" aca="1" ref="AF47" ca="1">IF($B47="","",IF(ISBLANK(INDIRECT("R7.Video!D"&amp;SUM(18,38*5,28))),"",INDIRECT("R7.Video!D"&amp;SUM(18,38*5,28))))</f>
        <v>N/T</v>
      </c>
      <c r="AG47" s="215" t="str" cm="1">
        <f t="array" aca="1" ref="AG47" ca="1">IF($B47="","",IF(ISBLANK(INDIRECT("R7.Video!D"&amp;SUM(18,38*6,28))),"",INDIRECT("R7.Video!D"&amp;SUM(18,38*6,28))))</f>
        <v>N/T</v>
      </c>
      <c r="AH47" s="215" t="str" cm="1">
        <f t="array" aca="1" ref="AH47" ca="1">IF($B47="","",IF(ISBLANK(INDIRECT("R7.Video!D"&amp;SUM(18,38*7,28))),"",INDIRECT("R7.Video!D"&amp;SUM(18,38*7,28))))</f>
        <v>N/T</v>
      </c>
      <c r="AI47" s="215" t="str" cm="1">
        <f t="array" aca="1" ref="AI47" ca="1">IF($B47="","",IF(ISBLANK(INDIRECT("R7.Video!D"&amp;SUM(18,38*8,28))),"",INDIRECT("R7.Video!D"&amp;SUM(18,38*8,28))))</f>
        <v>N/T</v>
      </c>
      <c r="AJ47" s="215" t="str" cm="1">
        <f t="array" aca="1" ref="AJ47" ca="1">IF($B47="","",IF(ISBLANK(INDIRECT("R9.Web!D"&amp;SUM(18,38*0,28))),"",INDIRECT("R9.Web!D"&amp;SUM(18,38*0,28))))</f>
        <v>N/D</v>
      </c>
      <c r="AK47" s="215" t="str" cm="1">
        <f t="array" aca="1" ref="AK47" ca="1">IF($B47="","",IF(ISBLANK(INDIRECT("R9.Web!D"&amp;SUM(18,38*1,28))),"",INDIRECT("R9.Web!D"&amp;SUM(18,38*1,28))))</f>
        <v>N/T</v>
      </c>
      <c r="AL47" s="215" t="str" cm="1">
        <f t="array" aca="1" ref="AL47" ca="1">IF($B47="","",IF(ISBLANK(INDIRECT("R9.Web!D"&amp;SUM(18,38*2,28))),"",INDIRECT("R9.Web!D"&amp;SUM(18,38*2,28))))</f>
        <v>N/T</v>
      </c>
      <c r="AM47" s="215" t="str" cm="1">
        <f t="array" aca="1" ref="AM47" ca="1">IF($B47="","",IF(ISBLANK(INDIRECT("R9.Web!D"&amp;SUM(18,38*3,28))),"",INDIRECT("R9.Web!D"&amp;SUM(18,38*3,28))))</f>
        <v>N/T</v>
      </c>
      <c r="AN47" s="215" t="str" cm="1">
        <f t="array" aca="1" ref="AN47" ca="1">IF($B47="","",IF(ISBLANK(INDIRECT("R9.Web!D"&amp;SUM(18,38*4,28))),"",INDIRECT("R9.Web!D"&amp;SUM(18,38*4,28))))</f>
        <v>N/T</v>
      </c>
      <c r="AO47" s="215" t="str" cm="1">
        <f t="array" aca="1" ref="AO47" ca="1">IF($B47="","",IF(ISBLANK(INDIRECT("R9.Web!D"&amp;SUM(18,38*5,28))),"",INDIRECT("R9.Web!D"&amp;SUM(18,38*5,28))))</f>
        <v>N/D</v>
      </c>
      <c r="AP47" s="215" t="str" cm="1">
        <f t="array" aca="1" ref="AP47" ca="1">IF($B47="","",IF(ISBLANK(INDIRECT("R9.Web!D"&amp;SUM(18,38*6,28))),"",INDIRECT("R9.Web!D"&amp;SUM(18,38*6,28))))</f>
        <v>N/T</v>
      </c>
      <c r="AQ47" s="215" t="str" cm="1">
        <f t="array" aca="1" ref="AQ47" ca="1">IF($B47="","",IF(ISBLANK(INDIRECT("R9.Web!D"&amp;SUM(18,38*7,28))),"",INDIRECT("R9.Web!D"&amp;SUM(18,38*7,28))))</f>
        <v>N/T</v>
      </c>
      <c r="AR47" s="215" t="str" cm="1">
        <f t="array" aca="1" ref="AR47" ca="1">IF($B47="","",IF(ISBLANK(INDIRECT("R9.Web!D"&amp;SUM(18,38*8,28))),"",INDIRECT("R9.Web!D"&amp;SUM(18,38*8,28))))</f>
        <v>N/D</v>
      </c>
      <c r="AS47" s="215" t="str" cm="1">
        <f t="array" aca="1" ref="AS47" ca="1">IF($B47="","",IF(ISBLANK(INDIRECT("R9.Web!D"&amp;SUM(18,38*9,28))),"",INDIRECT("R9.Web!D"&amp;SUM(18,38*9,28))))</f>
        <v>N/D</v>
      </c>
      <c r="AT47" s="215" t="str" cm="1">
        <f t="array" aca="1" ref="AT47" ca="1">IF($B47="","",IF(ISBLANK(INDIRECT("R9.Web!D"&amp;SUM(18,38*10,28))),"",INDIRECT("R9.Web!D"&amp;SUM(18,38*10,28))))</f>
        <v>N/T</v>
      </c>
      <c r="AU47" s="215" t="str" cm="1">
        <f t="array" aca="1" ref="AU47" ca="1">IF($B47="","",IF(ISBLANK(INDIRECT("R9.Web!D"&amp;SUM(18,38*11,28))),"",INDIRECT("R9.Web!D"&amp;SUM(18,38*11,28))))</f>
        <v>N/T</v>
      </c>
      <c r="AV47" s="215" t="str" cm="1">
        <f t="array" aca="1" ref="AV47" ca="1">IF($B47="","",IF(ISBLANK(INDIRECT("R9.Web!D"&amp;SUM(18,38*12,28))),"",INDIRECT("R9.Web!D"&amp;SUM(18,38*12,28))))</f>
        <v>N/D</v>
      </c>
      <c r="AW47" s="215" t="str" cm="1">
        <f t="array" aca="1" ref="AW47" ca="1">IF($B47="","",IF(ISBLANK(INDIRECT("R9.Web!D"&amp;SUM(18,38*13,28))),"",INDIRECT("R9.Web!D"&amp;SUM(18,38*13,28))))</f>
        <v>N/T</v>
      </c>
      <c r="AX47" s="215" t="str" cm="1">
        <f t="array" aca="1" ref="AX47" ca="1">IF($B47="","",IF(ISBLANK(INDIRECT("R9.Web!D"&amp;SUM(18,38*14,28))),"",INDIRECT("R9.Web!D"&amp;SUM(18,38*14,28))))</f>
        <v>N/T</v>
      </c>
      <c r="AY47" s="215" t="str" cm="1">
        <f t="array" aca="1" ref="AY47" ca="1">IF($B47="","",IF(ISBLANK(INDIRECT("R9.Web!D"&amp;SUM(18,38*15,28))),"",INDIRECT("R9.Web!D"&amp;SUM(18,38*15,28))))</f>
        <v>N/D</v>
      </c>
      <c r="AZ47" s="215" t="str" cm="1">
        <f t="array" aca="1" ref="AZ47" ca="1">IF($B47="","",IF(ISBLANK(INDIRECT("R9.Web!D"&amp;SUM(18,38*16,28))),"",INDIRECT("R9.Web!D"&amp;SUM(18,38*16,28))))</f>
        <v>N/T</v>
      </c>
      <c r="BA47" s="215" t="str" cm="1">
        <f t="array" aca="1" ref="BA47" ca="1">IF($B47="","",IF(ISBLANK(INDIRECT("R9.Web!D"&amp;SUM(18,38*17,28))),"",INDIRECT("R9.Web!D"&amp;SUM(18,38*17,28))))</f>
        <v>N/D</v>
      </c>
      <c r="BB47" s="215" t="str" cm="1">
        <f t="array" aca="1" ref="BB47" ca="1">IF($B47="","",IF(ISBLANK(INDIRECT("R9.Web!D"&amp;SUM(18,38*18,28))),"",INDIRECT("R9.Web!D"&amp;SUM(18,38*18,28))))</f>
        <v>N/T</v>
      </c>
      <c r="BC47" s="215" t="str" cm="1">
        <f t="array" aca="1" ref="BC47" ca="1">IF($B47="","",IF(ISBLANK(INDIRECT("R9.Web!D"&amp;SUM(18,38*19,28))),"",INDIRECT("R9.Web!D"&amp;SUM(18,38*19,28))))</f>
        <v>N/D</v>
      </c>
      <c r="BD47" s="215" t="str" cm="1">
        <f t="array" aca="1" ref="BD47" ca="1">IF($B47="","",IF(ISBLANK(INDIRECT("R9.Web!D"&amp;SUM(18,38*20,28))),"",INDIRECT("R9.Web!D"&amp;SUM(18,38*20,28))))</f>
        <v>N/T</v>
      </c>
      <c r="BE47" s="215" t="str" cm="1">
        <f t="array" aca="1" ref="BE47" ca="1">IF($B47="","",IF(ISBLANK(INDIRECT("R9.Web!D"&amp;SUM(18,38*21,28))),"",INDIRECT("R9.Web!D"&amp;SUM(18,38*21,28))))</f>
        <v>N/T</v>
      </c>
      <c r="BF47" s="215" t="str" cm="1">
        <f t="array" aca="1" ref="BF47" ca="1">IF($B47="","",IF(ISBLANK(INDIRECT("R9.Web!D"&amp;SUM(18,38*22,28))),"",INDIRECT("R9.Web!D"&amp;SUM(18,38*22,28))))</f>
        <v>N/D</v>
      </c>
      <c r="BG47" s="215" t="str" cm="1">
        <f t="array" aca="1" ref="BG47" ca="1">IF($B47="","",IF(ISBLANK(INDIRECT("R9.Web!D"&amp;SUM(18,38*23,28))),"",INDIRECT("R9.Web!D"&amp;SUM(18,38*23,28))))</f>
        <v>N/D</v>
      </c>
      <c r="BH47" s="215" t="str" cm="1">
        <f t="array" aca="1" ref="BH47" ca="1">IF($B47="","",IF(ISBLANK(INDIRECT("R9.Web!D"&amp;SUM(18,38*24,28))),"",INDIRECT("R9.Web!D"&amp;SUM(18,38*24,28))))</f>
        <v>N/T</v>
      </c>
      <c r="BI47" s="215" t="str" cm="1">
        <f t="array" aca="1" ref="BI47" ca="1">IF($B47="","",IF(ISBLANK(INDIRECT("R9.Web!D"&amp;SUM(18,38*25,28))),"",INDIRECT("R9.Web!D"&amp;SUM(18,38*25,28))))</f>
        <v>N/D</v>
      </c>
      <c r="BJ47" s="215" t="str" cm="1">
        <f t="array" aca="1" ref="BJ47" ca="1">IF($B47="","",IF(ISBLANK(INDIRECT("R9.Web!D"&amp;SUM(18,38*26,28))),"",INDIRECT("R9.Web!D"&amp;SUM(18,38*26,28))))</f>
        <v>N/D</v>
      </c>
      <c r="BK47" s="215" t="str" cm="1">
        <f t="array" aca="1" ref="BK47" ca="1">IF($B47="","",IF(ISBLANK(INDIRECT("R9.Web!D"&amp;SUM(18,38*27,28))),"",INDIRECT("R9.Web!D"&amp;SUM(18,38*27,28))))</f>
        <v>N/D</v>
      </c>
      <c r="BL47" s="215" t="str" cm="1">
        <f t="array" aca="1" ref="BL47" ca="1">IF($B47="","",IF(ISBLANK(INDIRECT("R9.Web!D"&amp;SUM(18,38*28,28))),"",INDIRECT("R9.Web!D"&amp;SUM(18,38*28,28))))</f>
        <v>N/D</v>
      </c>
      <c r="BM47" s="215" t="str" cm="1">
        <f t="array" aca="1" ref="BM47" ca="1">IF($B47="","",IF(ISBLANK(INDIRECT("R9.Web!D"&amp;SUM(18,38*29,28))),"",INDIRECT("R9.Web!D"&amp;SUM(18,38*29,28))))</f>
        <v>N/D</v>
      </c>
      <c r="BN47" s="215" t="str" cm="1">
        <f t="array" aca="1" ref="BN47" ca="1">IF($B47="","",IF(ISBLANK(INDIRECT("R9.Web!D"&amp;SUM(18,38*30,28))),"",INDIRECT("R9.Web!D"&amp;SUM(18,38*30,28))))</f>
        <v>N/T</v>
      </c>
      <c r="BO47" s="215" t="str" cm="1">
        <f t="array" aca="1" ref="BO47" ca="1">IF($B47="","",IF(ISBLANK(INDIRECT("R9.Web!D"&amp;SUM(18,38*31,28))),"",INDIRECT("R9.Web!D"&amp;SUM(18,38*31,28))))</f>
        <v>N/D</v>
      </c>
      <c r="BP47" s="215" t="str" cm="1">
        <f t="array" aca="1" ref="BP47" ca="1">IF($B47="","",IF(ISBLANK(INDIRECT("R9.Web!D"&amp;SUM(18,38*32,28))),"",INDIRECT("R9.Web!D"&amp;SUM(18,38*32,28))))</f>
        <v>N/T</v>
      </c>
      <c r="BQ47" s="215" t="str" cm="1">
        <f t="array" aca="1" ref="BQ47" ca="1">IF($B47="","",IF(ISBLANK(INDIRECT("R9.Web!D"&amp;SUM(18,38*33,28))),"",INDIRECT("R9.Web!D"&amp;SUM(18,38*33,28))))</f>
        <v>N/T</v>
      </c>
      <c r="BR47" s="215" t="str" cm="1">
        <f t="array" aca="1" ref="BR47" ca="1">IF($B47="","",IF(ISBLANK(INDIRECT("R9.Web!D"&amp;SUM(18,38*34,28))),"",INDIRECT("R9.Web!D"&amp;SUM(18,38*34,28))))</f>
        <v>N/D</v>
      </c>
      <c r="BS47" s="215" t="str" cm="1">
        <f t="array" aca="1" ref="BS47" ca="1">IF($B47="","",IF(ISBLANK(INDIRECT("R9.Web!D"&amp;SUM(18,38*35,28))),"",INDIRECT("R9.Web!D"&amp;SUM(18,38*35,28))))</f>
        <v>N/T</v>
      </c>
      <c r="BT47" s="215" t="str" cm="1">
        <f t="array" aca="1" ref="BT47" ca="1">IF($B47="","",IF(ISBLANK(INDIRECT("R9.Web!D"&amp;SUM(18,38*36,28))),"",INDIRECT("R9.Web!D"&amp;SUM(18,38*36,28))))</f>
        <v>N/D</v>
      </c>
      <c r="BU47" s="215" t="str" cm="1">
        <f t="array" aca="1" ref="BU47" ca="1">IF($B47="","",IF(ISBLANK(INDIRECT("R9.Web!D"&amp;SUM(18,38*37,28))),"",INDIRECT("R9.Web!D"&amp;SUM(18,38*37,28))))</f>
        <v>N/D</v>
      </c>
      <c r="BV47" s="215" t="str" cm="1">
        <f t="array" aca="1" ref="BV47" ca="1">IF($B47="","",IF(ISBLANK(INDIRECT("R9.Web!D"&amp;SUM(18,38*38,28))),"",INDIRECT("R9.Web!D"&amp;SUM(18,38*38,28))))</f>
        <v>N/D</v>
      </c>
      <c r="BW47" s="215" t="str" cm="1">
        <f t="array" aca="1" ref="BW47" ca="1">IF($B47="","",IF(ISBLANK(INDIRECT("R9.Web!D"&amp;SUM(18,38*39,28))),"",INDIRECT("R9.Web!D"&amp;SUM(18,38*39,28))))</f>
        <v>N/D</v>
      </c>
      <c r="BX47" s="215" t="str" cm="1">
        <f t="array" aca="1" ref="BX47" ca="1">IF($B47="","",IF(ISBLANK(INDIRECT("R9.Web!D"&amp;SUM(18,38*40,28))),"",INDIRECT("R9.Web!D"&amp;SUM(18,38*40,28))))</f>
        <v>N/D</v>
      </c>
      <c r="BY47" s="215" t="str" cm="1">
        <f t="array" aca="1" ref="BY47" ca="1">IF($B47="","",IF(ISBLANK(INDIRECT("R9.Web!D"&amp;SUM(18,38*41,28))),"",INDIRECT("R9.Web!D"&amp;SUM(18,38*41,28))))</f>
        <v>N/T</v>
      </c>
      <c r="BZ47" s="215" t="str" cm="1">
        <f t="array" aca="1" ref="BZ47" ca="1">IF($B47="","",IF(ISBLANK(INDIRECT("R9.Web!D"&amp;SUM(18,38*42,28))),"",INDIRECT("R9.Web!D"&amp;SUM(18,38*42,28))))</f>
        <v>N/T</v>
      </c>
      <c r="CA47" s="215" t="str" cm="1">
        <f t="array" aca="1" ref="CA47" ca="1">IF($B47="","",IF(ISBLANK(INDIRECT("R9.Web!D"&amp;SUM(18,38*43,28))),"",INDIRECT("R9.Web!D"&amp;SUM(18,38*43,28))))</f>
        <v>N/D</v>
      </c>
      <c r="CB47" s="215" t="str" cm="1">
        <f t="array" aca="1" ref="CB47" ca="1">IF($B47="","",IF(ISBLANK(INDIRECT("R9.Web!D"&amp;SUM(18,38*44,28))),"",INDIRECT("R9.Web!D"&amp;SUM(18,38*44,28))))</f>
        <v>N/T</v>
      </c>
      <c r="CC47" s="215" t="str" cm="1">
        <f t="array" aca="1" ref="CC47" ca="1">IF($B47="","",IF(ISBLANK(INDIRECT("R9.Web!D"&amp;SUM(18,38*45,28))),"",INDIRECT("R9.Web!D"&amp;SUM(18,38*45,28))))</f>
        <v>N/T</v>
      </c>
      <c r="CD47" s="215" t="str" cm="1">
        <f t="array" aca="1" ref="CD47" ca="1">IF($B47="","",IF(ISBLANK(INDIRECT("R9.Web!D"&amp;SUM(18,38*46,28))),"",INDIRECT("R9.Web!D"&amp;SUM(18,38*46,28))))</f>
        <v>N/T</v>
      </c>
      <c r="CE47" s="215" t="str" cm="1">
        <f t="array" aca="1" ref="CE47" ca="1">IF($B47="","",IF(ISBLANK(INDIRECT("R9.Web!D"&amp;SUM(18,38*47,28))),"",INDIRECT("R9.Web!D"&amp;SUM(18,38*47,28))))</f>
        <v>N/D</v>
      </c>
      <c r="CF47" s="215" t="str" cm="1">
        <f t="array" aca="1" ref="CF47" ca="1">IF($B47="","",IF(ISBLANK(INDIRECT("R9.Web!D"&amp;SUM(18,38*48,28))),"",INDIRECT("R9.Web!D"&amp;SUM(18,38*48,28))))</f>
        <v>N/T</v>
      </c>
      <c r="CG47" s="215" t="str" cm="1">
        <f t="array" aca="1" ref="CG47" ca="1">IF($B47="","",IF(ISBLANK(INDIRECT("R9.Web!D"&amp;SUM(18,38*49,28))),"",INDIRECT("R9.Web!D"&amp;SUM(18,38*49,28))))</f>
        <v>N/T</v>
      </c>
      <c r="CH47" s="215" t="str" cm="1">
        <f t="array" aca="1" ref="CH47" ca="1">IF($B47="","",IF(ISBLANK(INDIRECT("R11.Software!D"&amp;SUM(18,38*0,28))),"",INDIRECT("R11.Software!D"&amp;SUM(18,38*0,28))))</f>
        <v>N/T</v>
      </c>
      <c r="CI47" s="215" t="str" cm="1">
        <f t="array" aca="1" ref="CI47" ca="1">IF($B47="","",IF(ISBLANK(INDIRECT("R11.Software!D"&amp;SUM(18,38*1,28))),"",INDIRECT("R11.Software!D"&amp;SUM(18,38*1,28))))</f>
        <v>N/T</v>
      </c>
      <c r="CJ47" s="215" t="str" cm="1">
        <f t="array" aca="1" ref="CJ47" ca="1">IF($B47="","",IF(ISBLANK(INDIRECT("R11.Software!D"&amp;SUM(18,38*2,28))),"",INDIRECT("R11.Software!D"&amp;SUM(18,38*2,28))))</f>
        <v>N/T</v>
      </c>
      <c r="CK47" s="215" t="str" cm="1">
        <f t="array" aca="1" ref="CK47" ca="1">IF($B47="","",IF(ISBLANK(INDIRECT("R11.Software!D"&amp;SUM(18,38*3,28))),"",INDIRECT("R11.Software!D"&amp;SUM(18,38*3,28))))</f>
        <v>N/T</v>
      </c>
      <c r="CL47" s="215" t="str" cm="1">
        <f t="array" aca="1" ref="CL47" ca="1">IF($B47="","",IF(ISBLANK(INDIRECT("R11.Software!D"&amp;SUM(18,38*4,28))),"",INDIRECT("R11.Software!D"&amp;SUM(18,38*4,28))))</f>
        <v>N/T</v>
      </c>
      <c r="CM47" s="215" t="str" cm="1">
        <f t="array" aca="1" ref="CM47" ca="1">IF($B47="","",IF(ISBLANK(INDIRECT("R11.Software!D"&amp;SUM(18,38*5,28))),"",INDIRECT("R11.Software!D"&amp;SUM(18,38*5,28))))</f>
        <v>N/T</v>
      </c>
      <c r="CN47" s="215" t="str" cm="1">
        <f t="array" aca="1" ref="CN47" ca="1">IF($B47="","",IF(ISBLANK(INDIRECT("R12.ServiciosApoyo!D"&amp;SUM(18,38*0,28))),"",INDIRECT("R12.ServiciosApoyo!D"&amp;SUM(18,38*0,28))))</f>
        <v>N/T</v>
      </c>
      <c r="CO47" s="215" t="str" cm="1">
        <f t="array" aca="1" ref="CO47" ca="1">IF($B47="","",IF(ISBLANK(INDIRECT("R12.ServiciosApoyo!D"&amp;SUM(18,38*1,28))),"",INDIRECT("R12.ServiciosApoyo!D"&amp;SUM(18,38*1,28))))</f>
        <v>N/T</v>
      </c>
      <c r="CP47" s="215" t="str" cm="1">
        <f t="array" aca="1" ref="CP47" ca="1">IF($B47="","",IF(ISBLANK(INDIRECT("R12.ServiciosApoyo!D"&amp;SUM(18,38*2,28))),"",INDIRECT("R12.ServiciosApoyo!D"&amp;SUM(18,38*2,28))))</f>
        <v>N/T</v>
      </c>
      <c r="CQ47" s="215" t="str" cm="1">
        <f t="array" aca="1" ref="CQ47" ca="1">IF($B47="","",IF(ISBLANK(INDIRECT("R12.ServiciosApoyo!D"&amp;SUM(18,38*3,28))),"",INDIRECT("R12.ServiciosApoyo!D"&amp;SUM(18,38*3,28))))</f>
        <v>N/T</v>
      </c>
      <c r="CR47" s="215" t="str" cm="1">
        <f t="array" aca="1" ref="CR47" ca="1">IF($B47="","",IF(ISBLANK(INDIRECT("R12.ServiciosApoyo!D"&amp;SUM(18,38*4,28))),"",INDIRECT("R12.ServiciosApoyo!D"&amp;SUM(18,38*4,28))))</f>
        <v>N/T</v>
      </c>
      <c r="CU47" s="100"/>
      <c r="CV47" s="29"/>
      <c r="CW47" s="29"/>
      <c r="CX47" s="29"/>
    </row>
    <row r="48" spans="2:102" ht="20.25">
      <c r="B48" s="181" t="n" cm="1">
        <f t="array" ref="B48">IFERROR(INDEX('03.Muestra'!$B$8:$B$42,SMALL(IF("Página Web"='03.Muestra'!$D$8:$D$42,ROW('03.Muestra'!$B$8:$B$42)-MIN(ROW('03.Muestra'!$D$8:$D$42))+1,""),ROW()-19)),"")</f>
        <v>1.0</v>
      </c>
      <c r="C48" s="97" t="str" cm="1">
        <f t="array" ref="C48">IFERROR(INDEX('03.Muestra'!$C$8:$C$42,SMALL(IF("Página Web"='03.Muestra'!$D$8:$D$42,ROW('03.Muestra'!$C$8:$C$42)-MIN(ROW('03.Muestra'!$D$8:$D$42))+1,""),ROW()-19)),"")</f>
        <v>Home - PortCastelló</v>
      </c>
      <c r="D48" s="98" t="str" cm="1">
        <f t="array" ref="D48">IFERROR(INDEX('03.Muestra'!$F$8:$F$42,SMALL(IF("Página Web"='03.Muestra'!$D$8:$D$42,ROW('03.Muestra'!$F$8:$F$42)-MIN(ROW('03.Muestra'!$D$8:$D$42))+1,""),ROW()-19)),"")</f>
        <v>https://www.portcastello.com/</v>
      </c>
      <c r="E48" s="215" t="str" cm="1">
        <f t="array" aca="1" ref="E48" ca="1">IF($B48="","",IF(ISBLANK(INDIRECT("R5.Genéricos!D"&amp;SUM(18,38*0,29))),"",INDIRECT("R5.Genéricos!D"&amp;SUM(18,38*0,29))))</f>
        <v>N/T</v>
      </c>
      <c r="F48" s="215" t="str" cm="1">
        <f t="array" aca="1" ref="F48" ca="1">IF($B48="","",IF(ISBLANK(INDIRECT("R5.Genéricos!D"&amp;SUM(18,38*1,29))),"",INDIRECT("R5.Genéricos!D"&amp;SUM(18,38*1,29))))</f>
        <v>N/T</v>
      </c>
      <c r="G48" s="215" t="str" cm="1">
        <f t="array" aca="1" ref="G48" ca="1">IF($B48="","",IF(ISBLANK(INDIRECT("R5.Genéricos!D"&amp;SUM(18,38*2,29))),"",INDIRECT("R5.Genéricos!D"&amp;SUM(18,38*2,29))))</f>
        <v>N/T</v>
      </c>
      <c r="H48" s="215" t="str" cm="1">
        <f t="array" aca="1" ref="H48" ca="1">IF($B48="","",IF(ISBLANK(INDIRECT("R6.Voz!D"&amp;SUM(18,38*0,29))),"",INDIRECT("R6.Voz!D"&amp;SUM(18,38*0,29))))</f>
        <v>N/T</v>
      </c>
      <c r="I48" s="215" t="str" cm="1">
        <f t="array" aca="1" ref="I48" ca="1">IF($B48="","",IF(ISBLANK(INDIRECT("R6.Voz!D"&amp;SUM(18,38*1,29))),"",INDIRECT("R6.Voz!D"&amp;SUM(18,38*1,29))))</f>
        <v>N/T</v>
      </c>
      <c r="J48" s="215" t="str" cm="1">
        <f t="array" aca="1" ref="J48" ca="1">IF($B48="","",IF(ISBLANK(INDIRECT("R6.Voz!D"&amp;SUM(18,38*2,29))),"",INDIRECT("R6.Voz!D"&amp;SUM(18,38*2,29))))</f>
        <v>N/T</v>
      </c>
      <c r="K48" s="215" t="str" cm="1">
        <f t="array" aca="1" ref="K48" ca="1">IF($B48="","",IF(ISBLANK(INDIRECT("R6.Voz!D"&amp;SUM(18,38*3,29))),"",INDIRECT("R6.Voz!D"&amp;SUM(18,38*3,29))))</f>
        <v>N/T</v>
      </c>
      <c r="L48" s="215" t="str" cm="1">
        <f t="array" aca="1" ref="L48" ca="1">IF($B48="","",IF(ISBLANK(INDIRECT("R6.Voz!D"&amp;SUM(18,38*4,29))),"",INDIRECT("R6.Voz!D"&amp;SUM(18,38*4,29))))</f>
        <v>N/T</v>
      </c>
      <c r="M48" s="215" t="str" cm="1">
        <f t="array" aca="1" ref="M48" ca="1">IF($B48="","",IF(ISBLANK(INDIRECT("R6.Voz!D"&amp;SUM(18,38*5,29))),"",INDIRECT("R6.Voz!D"&amp;SUM(18,38*5,29))))</f>
        <v>N/T</v>
      </c>
      <c r="N48" s="215" t="str" cm="1">
        <f t="array" aca="1" ref="N48" ca="1">IF($B48="","",IF(ISBLANK(INDIRECT("R6.Voz!D"&amp;SUM(18,38*6,29))),"",INDIRECT("R6.Voz!D"&amp;SUM(18,38*6,29))))</f>
        <v>N/T</v>
      </c>
      <c r="O48" s="215" t="str" cm="1">
        <f t="array" aca="1" ref="O48" ca="1">IF($B48="","",IF(ISBLANK(INDIRECT("R6.Voz!D"&amp;SUM(18,38*7,29))),"",INDIRECT("R6.Voz!D"&amp;SUM(18,38*7,29))))</f>
        <v>N/T</v>
      </c>
      <c r="P48" s="215" t="str" cm="1">
        <f t="array" aca="1" ref="P48" ca="1">IF($B48="","",IF(ISBLANK(INDIRECT("R6.Voz!D"&amp;SUM(18,38*8,29))),"",INDIRECT("R6.Voz!D"&amp;SUM(18,38*8,29))))</f>
        <v>N/T</v>
      </c>
      <c r="Q48" s="215" t="str" cm="1">
        <f t="array" aca="1" ref="Q48" ca="1">IF($B48="","",IF(ISBLANK(INDIRECT("R6.Voz!D"&amp;SUM(18,38*9,29))),"",INDIRECT("R6.Voz!D"&amp;SUM(18,38*9,29))))</f>
        <v>N/T</v>
      </c>
      <c r="R48" s="215" t="str" cm="1">
        <f t="array" aca="1" ref="R48" ca="1">IF($B48="","",IF(ISBLANK(INDIRECT("R6.Voz!D"&amp;SUM(18,38*10,29))),"",INDIRECT("R6.Voz!D"&amp;SUM(18,38*10,29))))</f>
        <v>N/T</v>
      </c>
      <c r="S48" s="215" t="str" cm="1">
        <f t="array" aca="1" ref="S48" ca="1">IF($B48="","",IF(ISBLANK(INDIRECT("R6.Voz!D"&amp;SUM(18,38*11,29))),"",INDIRECT("R6.Voz!D"&amp;SUM(18,38*11,29))))</f>
        <v>N/T</v>
      </c>
      <c r="T48" s="215" t="str" cm="1">
        <f t="array" aca="1" ref="T48" ca="1">IF($B48="","",IF(ISBLANK(INDIRECT("R6.Voz!D"&amp;SUM(18,38*12,29))),"",INDIRECT("R6.Voz!D"&amp;SUM(18,38*12,29))))</f>
        <v>N/T</v>
      </c>
      <c r="U48" s="215" t="str" cm="1">
        <f t="array" aca="1" ref="U48" ca="1">IF($B48="","",IF(ISBLANK(INDIRECT("R6.Voz!D"&amp;SUM(18,38*13,29))),"",INDIRECT("R6.Voz!D"&amp;SUM(18,38*13,29))))</f>
        <v>N/T</v>
      </c>
      <c r="V48" s="215" t="str" cm="1">
        <f t="array" aca="1" ref="V48" ca="1">IF($B48="","",IF(ISBLANK(INDIRECT("R6.Voz!D"&amp;SUM(18,38*14,29))),"",INDIRECT("R6.Voz!D"&amp;SUM(18,38*14,29))))</f>
        <v>N/T</v>
      </c>
      <c r="W48" s="215" t="str" cm="1">
        <f t="array" aca="1" ref="W48" ca="1">IF($B48="","",IF(ISBLANK(INDIRECT("R6.Voz!D"&amp;SUM(18,38*15,29))),"",INDIRECT("R6.Voz!D"&amp;SUM(18,38*15,29))))</f>
        <v>N/T</v>
      </c>
      <c r="X48" s="215" t="str" cm="1">
        <f t="array" aca="1" ref="X48" ca="1">IF($B48="","",IF(ISBLANK(INDIRECT("R6.Voz!D"&amp;SUM(18,38*16,29))),"",INDIRECT("R6.Voz!D"&amp;SUM(18,38*16,29))))</f>
        <v>N/T</v>
      </c>
      <c r="Y48" s="215" t="str" cm="1">
        <f t="array" aca="1" ref="Y48" ca="1">IF($B48="","",IF(ISBLANK(INDIRECT("R6.Voz!D"&amp;SUM(18,38*17,29))),"",INDIRECT("R6.Voz!D"&amp;SUM(18,38*17,29))))</f>
        <v>N/T</v>
      </c>
      <c r="Z48" s="215" t="str" cm="1">
        <f t="array" aca="1" ref="Z48" ca="1">IF($B48="","",IF(ISBLANK(INDIRECT("R6.Voz!D"&amp;SUM(18,38*18,29))),"",INDIRECT("R6.Voz!D"&amp;SUM(18,38*18,29))))</f>
        <v>N/T</v>
      </c>
      <c r="AA48" s="215" t="str" cm="1">
        <f t="array" aca="1" ref="AA48" ca="1">IF($B48="","",IF(ISBLANK(INDIRECT("R7.Video!D"&amp;SUM(18,38*0,29))),"",INDIRECT("R7.Video!D"&amp;SUM(18,38*0,29))))</f>
        <v>N/T</v>
      </c>
      <c r="AB48" s="215" t="str" cm="1">
        <f t="array" aca="1" ref="AB48" ca="1">IF($B48="","",IF(ISBLANK(INDIRECT("R7.Video!D"&amp;SUM(18,38*1,29))),"",INDIRECT("R7.Video!D"&amp;SUM(18,38*1,29))))</f>
        <v>N/T</v>
      </c>
      <c r="AC48" s="215" t="str" cm="1">
        <f t="array" aca="1" ref="AC48" ca="1">IF($B48="","",IF(ISBLANK(INDIRECT("R7.Video!D"&amp;SUM(18,38*2,29))),"",INDIRECT("R7.Video!D"&amp;SUM(18,38*2,29))))</f>
        <v>N/T</v>
      </c>
      <c r="AD48" s="215" t="str" cm="1">
        <f t="array" aca="1" ref="AD48" ca="1">IF($B48="","",IF(ISBLANK(INDIRECT("R7.Video!D"&amp;SUM(18,38*3,29))),"",INDIRECT("R7.Video!D"&amp;SUM(18,38*3,29))))</f>
        <v>N/T</v>
      </c>
      <c r="AE48" s="215" t="str" cm="1">
        <f t="array" aca="1" ref="AE48" ca="1">IF($B48="","",IF(ISBLANK(INDIRECT("R7.Video!D"&amp;SUM(18,38*4,29))),"",INDIRECT("R7.Video!D"&amp;SUM(18,38*4,29))))</f>
        <v>N/T</v>
      </c>
      <c r="AF48" s="215" t="str" cm="1">
        <f t="array" aca="1" ref="AF48" ca="1">IF($B48="","",IF(ISBLANK(INDIRECT("R7.Video!D"&amp;SUM(18,38*5,29))),"",INDIRECT("R7.Video!D"&amp;SUM(18,38*5,29))))</f>
        <v>N/T</v>
      </c>
      <c r="AG48" s="215" t="str" cm="1">
        <f t="array" aca="1" ref="AG48" ca="1">IF($B48="","",IF(ISBLANK(INDIRECT("R7.Video!D"&amp;SUM(18,38*6,29))),"",INDIRECT("R7.Video!D"&amp;SUM(18,38*6,29))))</f>
        <v>N/T</v>
      </c>
      <c r="AH48" s="215" t="str" cm="1">
        <f t="array" aca="1" ref="AH48" ca="1">IF($B48="","",IF(ISBLANK(INDIRECT("R7.Video!D"&amp;SUM(18,38*7,29))),"",INDIRECT("R7.Video!D"&amp;SUM(18,38*7,29))))</f>
        <v>N/T</v>
      </c>
      <c r="AI48" s="215" t="str" cm="1">
        <f t="array" aca="1" ref="AI48" ca="1">IF($B48="","",IF(ISBLANK(INDIRECT("R7.Video!D"&amp;SUM(18,38*8,29))),"",INDIRECT("R7.Video!D"&amp;SUM(18,38*8,29))))</f>
        <v>N/T</v>
      </c>
      <c r="AJ48" s="215" t="str" cm="1">
        <f t="array" aca="1" ref="AJ48" ca="1">IF($B48="","",IF(ISBLANK(INDIRECT("R9.Web!D"&amp;SUM(18,38*0,29))),"",INDIRECT("R9.Web!D"&amp;SUM(18,38*0,29))))</f>
        <v>N/D</v>
      </c>
      <c r="AK48" s="215" t="str" cm="1">
        <f t="array" aca="1" ref="AK48" ca="1">IF($B48="","",IF(ISBLANK(INDIRECT("R9.Web!D"&amp;SUM(18,38*1,29))),"",INDIRECT("R9.Web!D"&amp;SUM(18,38*1,29))))</f>
        <v>N/T</v>
      </c>
      <c r="AL48" s="215" t="str" cm="1">
        <f t="array" aca="1" ref="AL48" ca="1">IF($B48="","",IF(ISBLANK(INDIRECT("R9.Web!D"&amp;SUM(18,38*2,29))),"",INDIRECT("R9.Web!D"&amp;SUM(18,38*2,29))))</f>
        <v>N/T</v>
      </c>
      <c r="AM48" s="215" t="str" cm="1">
        <f t="array" aca="1" ref="AM48" ca="1">IF($B48="","",IF(ISBLANK(INDIRECT("R9.Web!D"&amp;SUM(18,38*3,29))),"",INDIRECT("R9.Web!D"&amp;SUM(18,38*3,29))))</f>
        <v>N/T</v>
      </c>
      <c r="AN48" s="215" t="str" cm="1">
        <f t="array" aca="1" ref="AN48" ca="1">IF($B48="","",IF(ISBLANK(INDIRECT("R9.Web!D"&amp;SUM(18,38*4,29))),"",INDIRECT("R9.Web!D"&amp;SUM(18,38*4,29))))</f>
        <v>N/T</v>
      </c>
      <c r="AO48" s="215" t="str" cm="1">
        <f t="array" aca="1" ref="AO48" ca="1">IF($B48="","",IF(ISBLANK(INDIRECT("R9.Web!D"&amp;SUM(18,38*5,29))),"",INDIRECT("R9.Web!D"&amp;SUM(18,38*5,29))))</f>
        <v>N/D</v>
      </c>
      <c r="AP48" s="215" t="str" cm="1">
        <f t="array" aca="1" ref="AP48" ca="1">IF($B48="","",IF(ISBLANK(INDIRECT("R9.Web!D"&amp;SUM(18,38*6,29))),"",INDIRECT("R9.Web!D"&amp;SUM(18,38*6,29))))</f>
        <v>N/T</v>
      </c>
      <c r="AQ48" s="215" t="str" cm="1">
        <f t="array" aca="1" ref="AQ48" ca="1">IF($B48="","",IF(ISBLANK(INDIRECT("R9.Web!D"&amp;SUM(18,38*7,29))),"",INDIRECT("R9.Web!D"&amp;SUM(18,38*7,29))))</f>
        <v>N/T</v>
      </c>
      <c r="AR48" s="215" t="str" cm="1">
        <f t="array" aca="1" ref="AR48" ca="1">IF($B48="","",IF(ISBLANK(INDIRECT("R9.Web!D"&amp;SUM(18,38*8,29))),"",INDIRECT("R9.Web!D"&amp;SUM(18,38*8,29))))</f>
        <v>N/D</v>
      </c>
      <c r="AS48" s="215" t="str" cm="1">
        <f t="array" aca="1" ref="AS48" ca="1">IF($B48="","",IF(ISBLANK(INDIRECT("R9.Web!D"&amp;SUM(18,38*9,29))),"",INDIRECT("R9.Web!D"&amp;SUM(18,38*9,29))))</f>
        <v>N/D</v>
      </c>
      <c r="AT48" s="215" t="str" cm="1">
        <f t="array" aca="1" ref="AT48" ca="1">IF($B48="","",IF(ISBLANK(INDIRECT("R9.Web!D"&amp;SUM(18,38*10,29))),"",INDIRECT("R9.Web!D"&amp;SUM(18,38*10,29))))</f>
        <v>N/T</v>
      </c>
      <c r="AU48" s="215" t="str" cm="1">
        <f t="array" aca="1" ref="AU48" ca="1">IF($B48="","",IF(ISBLANK(INDIRECT("R9.Web!D"&amp;SUM(18,38*11,29))),"",INDIRECT("R9.Web!D"&amp;SUM(18,38*11,29))))</f>
        <v>N/T</v>
      </c>
      <c r="AV48" s="215" t="str" cm="1">
        <f t="array" aca="1" ref="AV48" ca="1">IF($B48="","",IF(ISBLANK(INDIRECT("R9.Web!D"&amp;SUM(18,38*12,29))),"",INDIRECT("R9.Web!D"&amp;SUM(18,38*12,29))))</f>
        <v>N/D</v>
      </c>
      <c r="AW48" s="215" t="str" cm="1">
        <f t="array" aca="1" ref="AW48" ca="1">IF($B48="","",IF(ISBLANK(INDIRECT("R9.Web!D"&amp;SUM(18,38*13,29))),"",INDIRECT("R9.Web!D"&amp;SUM(18,38*13,29))))</f>
        <v>N/T</v>
      </c>
      <c r="AX48" s="215" t="str" cm="1">
        <f t="array" aca="1" ref="AX48" ca="1">IF($B48="","",IF(ISBLANK(INDIRECT("R9.Web!D"&amp;SUM(18,38*14,29))),"",INDIRECT("R9.Web!D"&amp;SUM(18,38*14,29))))</f>
        <v>N/T</v>
      </c>
      <c r="AY48" s="215" t="str" cm="1">
        <f t="array" aca="1" ref="AY48" ca="1">IF($B48="","",IF(ISBLANK(INDIRECT("R9.Web!D"&amp;SUM(18,38*15,29))),"",INDIRECT("R9.Web!D"&amp;SUM(18,38*15,29))))</f>
        <v>N/D</v>
      </c>
      <c r="AZ48" s="215" t="str" cm="1">
        <f t="array" aca="1" ref="AZ48" ca="1">IF($B48="","",IF(ISBLANK(INDIRECT("R9.Web!D"&amp;SUM(18,38*16,29))),"",INDIRECT("R9.Web!D"&amp;SUM(18,38*16,29))))</f>
        <v>N/T</v>
      </c>
      <c r="BA48" s="215" t="str" cm="1">
        <f t="array" aca="1" ref="BA48" ca="1">IF($B48="","",IF(ISBLANK(INDIRECT("R9.Web!D"&amp;SUM(18,38*17,29))),"",INDIRECT("R9.Web!D"&amp;SUM(18,38*17,29))))</f>
        <v>N/D</v>
      </c>
      <c r="BB48" s="215" t="str" cm="1">
        <f t="array" aca="1" ref="BB48" ca="1">IF($B48="","",IF(ISBLANK(INDIRECT("R9.Web!D"&amp;SUM(18,38*18,29))),"",INDIRECT("R9.Web!D"&amp;SUM(18,38*18,29))))</f>
        <v>N/T</v>
      </c>
      <c r="BC48" s="215" t="str" cm="1">
        <f t="array" aca="1" ref="BC48" ca="1">IF($B48="","",IF(ISBLANK(INDIRECT("R9.Web!D"&amp;SUM(18,38*19,29))),"",INDIRECT("R9.Web!D"&amp;SUM(18,38*19,29))))</f>
        <v>N/D</v>
      </c>
      <c r="BD48" s="215" t="str" cm="1">
        <f t="array" aca="1" ref="BD48" ca="1">IF($B48="","",IF(ISBLANK(INDIRECT("R9.Web!D"&amp;SUM(18,38*20,29))),"",INDIRECT("R9.Web!D"&amp;SUM(18,38*20,29))))</f>
        <v>N/T</v>
      </c>
      <c r="BE48" s="215" t="str" cm="1">
        <f t="array" aca="1" ref="BE48" ca="1">IF($B48="","",IF(ISBLANK(INDIRECT("R9.Web!D"&amp;SUM(18,38*21,29))),"",INDIRECT("R9.Web!D"&amp;SUM(18,38*21,29))))</f>
        <v>N/T</v>
      </c>
      <c r="BF48" s="215" t="str" cm="1">
        <f t="array" aca="1" ref="BF48" ca="1">IF($B48="","",IF(ISBLANK(INDIRECT("R9.Web!D"&amp;SUM(18,38*22,29))),"",INDIRECT("R9.Web!D"&amp;SUM(18,38*22,29))))</f>
        <v>N/D</v>
      </c>
      <c r="BG48" s="215" t="str" cm="1">
        <f t="array" aca="1" ref="BG48" ca="1">IF($B48="","",IF(ISBLANK(INDIRECT("R9.Web!D"&amp;SUM(18,38*23,29))),"",INDIRECT("R9.Web!D"&amp;SUM(18,38*23,29))))</f>
        <v>N/D</v>
      </c>
      <c r="BH48" s="215" t="str" cm="1">
        <f t="array" aca="1" ref="BH48" ca="1">IF($B48="","",IF(ISBLANK(INDIRECT("R9.Web!D"&amp;SUM(18,38*24,29))),"",INDIRECT("R9.Web!D"&amp;SUM(18,38*24,29))))</f>
        <v>N/T</v>
      </c>
      <c r="BI48" s="215" t="str" cm="1">
        <f t="array" aca="1" ref="BI48" ca="1">IF($B48="","",IF(ISBLANK(INDIRECT("R9.Web!D"&amp;SUM(18,38*25,29))),"",INDIRECT("R9.Web!D"&amp;SUM(18,38*25,29))))</f>
        <v>N/D</v>
      </c>
      <c r="BJ48" s="215" t="str" cm="1">
        <f t="array" aca="1" ref="BJ48" ca="1">IF($B48="","",IF(ISBLANK(INDIRECT("R9.Web!D"&amp;SUM(18,38*26,29))),"",INDIRECT("R9.Web!D"&amp;SUM(18,38*26,29))))</f>
        <v>N/D</v>
      </c>
      <c r="BK48" s="215" t="str" cm="1">
        <f t="array" aca="1" ref="BK48" ca="1">IF($B48="","",IF(ISBLANK(INDIRECT("R9.Web!D"&amp;SUM(18,38*27,29))),"",INDIRECT("R9.Web!D"&amp;SUM(18,38*27,29))))</f>
        <v>N/D</v>
      </c>
      <c r="BL48" s="215" t="str" cm="1">
        <f t="array" aca="1" ref="BL48" ca="1">IF($B48="","",IF(ISBLANK(INDIRECT("R9.Web!D"&amp;SUM(18,38*28,29))),"",INDIRECT("R9.Web!D"&amp;SUM(18,38*28,29))))</f>
        <v>N/D</v>
      </c>
      <c r="BM48" s="215" t="str" cm="1">
        <f t="array" aca="1" ref="BM48" ca="1">IF($B48="","",IF(ISBLANK(INDIRECT("R9.Web!D"&amp;SUM(18,38*29,29))),"",INDIRECT("R9.Web!D"&amp;SUM(18,38*29,29))))</f>
        <v>N/D</v>
      </c>
      <c r="BN48" s="215" t="str" cm="1">
        <f t="array" aca="1" ref="BN48" ca="1">IF($B48="","",IF(ISBLANK(INDIRECT("R9.Web!D"&amp;SUM(18,38*30,29))),"",INDIRECT("R9.Web!D"&amp;SUM(18,38*30,29))))</f>
        <v>N/T</v>
      </c>
      <c r="BO48" s="215" t="str" cm="1">
        <f t="array" aca="1" ref="BO48" ca="1">IF($B48="","",IF(ISBLANK(INDIRECT("R9.Web!D"&amp;SUM(18,38*31,29))),"",INDIRECT("R9.Web!D"&amp;SUM(18,38*31,29))))</f>
        <v>N/D</v>
      </c>
      <c r="BP48" s="215" t="str" cm="1">
        <f t="array" aca="1" ref="BP48" ca="1">IF($B48="","",IF(ISBLANK(INDIRECT("R9.Web!D"&amp;SUM(18,38*32,29))),"",INDIRECT("R9.Web!D"&amp;SUM(18,38*32,29))))</f>
        <v>N/T</v>
      </c>
      <c r="BQ48" s="215" t="str" cm="1">
        <f t="array" aca="1" ref="BQ48" ca="1">IF($B48="","",IF(ISBLANK(INDIRECT("R9.Web!D"&amp;SUM(18,38*33,29))),"",INDIRECT("R9.Web!D"&amp;SUM(18,38*33,29))))</f>
        <v>N/T</v>
      </c>
      <c r="BR48" s="215" t="str" cm="1">
        <f t="array" aca="1" ref="BR48" ca="1">IF($B48="","",IF(ISBLANK(INDIRECT("R9.Web!D"&amp;SUM(18,38*34,29))),"",INDIRECT("R9.Web!D"&amp;SUM(18,38*34,29))))</f>
        <v>N/D</v>
      </c>
      <c r="BS48" s="215" t="str" cm="1">
        <f t="array" aca="1" ref="BS48" ca="1">IF($B48="","",IF(ISBLANK(INDIRECT("R9.Web!D"&amp;SUM(18,38*35,29))),"",INDIRECT("R9.Web!D"&amp;SUM(18,38*35,29))))</f>
        <v>N/T</v>
      </c>
      <c r="BT48" s="215" t="str" cm="1">
        <f t="array" aca="1" ref="BT48" ca="1">IF($B48="","",IF(ISBLANK(INDIRECT("R9.Web!D"&amp;SUM(18,38*36,29))),"",INDIRECT("R9.Web!D"&amp;SUM(18,38*36,29))))</f>
        <v>N/D</v>
      </c>
      <c r="BU48" s="215" t="str" cm="1">
        <f t="array" aca="1" ref="BU48" ca="1">IF($B48="","",IF(ISBLANK(INDIRECT("R9.Web!D"&amp;SUM(18,38*37,29))),"",INDIRECT("R9.Web!D"&amp;SUM(18,38*37,29))))</f>
        <v>N/D</v>
      </c>
      <c r="BV48" s="215" t="str" cm="1">
        <f t="array" aca="1" ref="BV48" ca="1">IF($B48="","",IF(ISBLANK(INDIRECT("R9.Web!D"&amp;SUM(18,38*38,29))),"",INDIRECT("R9.Web!D"&amp;SUM(18,38*38,29))))</f>
        <v>N/D</v>
      </c>
      <c r="BW48" s="215" t="str" cm="1">
        <f t="array" aca="1" ref="BW48" ca="1">IF($B48="","",IF(ISBLANK(INDIRECT("R9.Web!D"&amp;SUM(18,38*39,29))),"",INDIRECT("R9.Web!D"&amp;SUM(18,38*39,29))))</f>
        <v>N/D</v>
      </c>
      <c r="BX48" s="215" t="str" cm="1">
        <f t="array" aca="1" ref="BX48" ca="1">IF($B48="","",IF(ISBLANK(INDIRECT("R9.Web!D"&amp;SUM(18,38*40,29))),"",INDIRECT("R9.Web!D"&amp;SUM(18,38*40,29))))</f>
        <v>N/D</v>
      </c>
      <c r="BY48" s="215" t="str" cm="1">
        <f t="array" aca="1" ref="BY48" ca="1">IF($B48="","",IF(ISBLANK(INDIRECT("R9.Web!D"&amp;SUM(18,38*41,29))),"",INDIRECT("R9.Web!D"&amp;SUM(18,38*41,29))))</f>
        <v>N/T</v>
      </c>
      <c r="BZ48" s="215" t="str" cm="1">
        <f t="array" aca="1" ref="BZ48" ca="1">IF($B48="","",IF(ISBLANK(INDIRECT("R9.Web!D"&amp;SUM(18,38*42,29))),"",INDIRECT("R9.Web!D"&amp;SUM(18,38*42,29))))</f>
        <v>N/T</v>
      </c>
      <c r="CA48" s="215" t="str" cm="1">
        <f t="array" aca="1" ref="CA48" ca="1">IF($B48="","",IF(ISBLANK(INDIRECT("R9.Web!D"&amp;SUM(18,38*43,29))),"",INDIRECT("R9.Web!D"&amp;SUM(18,38*43,29))))</f>
        <v>N/D</v>
      </c>
      <c r="CB48" s="215" t="str" cm="1">
        <f t="array" aca="1" ref="CB48" ca="1">IF($B48="","",IF(ISBLANK(INDIRECT("R9.Web!D"&amp;SUM(18,38*44,29))),"",INDIRECT("R9.Web!D"&amp;SUM(18,38*44,29))))</f>
        <v>N/T</v>
      </c>
      <c r="CC48" s="215" t="str" cm="1">
        <f t="array" aca="1" ref="CC48" ca="1">IF($B48="","",IF(ISBLANK(INDIRECT("R9.Web!D"&amp;SUM(18,38*45,29))),"",INDIRECT("R9.Web!D"&amp;SUM(18,38*45,29))))</f>
        <v>N/T</v>
      </c>
      <c r="CD48" s="215" t="str" cm="1">
        <f t="array" aca="1" ref="CD48" ca="1">IF($B48="","",IF(ISBLANK(INDIRECT("R9.Web!D"&amp;SUM(18,38*46,29))),"",INDIRECT("R9.Web!D"&amp;SUM(18,38*46,29))))</f>
        <v>N/T</v>
      </c>
      <c r="CE48" s="215" t="str" cm="1">
        <f t="array" aca="1" ref="CE48" ca="1">IF($B48="","",IF(ISBLANK(INDIRECT("R9.Web!D"&amp;SUM(18,38*47,29))),"",INDIRECT("R9.Web!D"&amp;SUM(18,38*47,29))))</f>
        <v>N/D</v>
      </c>
      <c r="CF48" s="215" t="str" cm="1">
        <f t="array" aca="1" ref="CF48" ca="1">IF($B48="","",IF(ISBLANK(INDIRECT("R9.Web!D"&amp;SUM(18,38*48,29))),"",INDIRECT("R9.Web!D"&amp;SUM(18,38*48,29))))</f>
        <v>N/T</v>
      </c>
      <c r="CG48" s="215" t="str" cm="1">
        <f t="array" aca="1" ref="CG48" ca="1">IF($B48="","",IF(ISBLANK(INDIRECT("R9.Web!D"&amp;SUM(18,38*49,29))),"",INDIRECT("R9.Web!D"&amp;SUM(18,38*49,29))))</f>
        <v>N/T</v>
      </c>
      <c r="CH48" s="215" t="str" cm="1">
        <f t="array" aca="1" ref="CH48" ca="1">IF($B48="","",IF(ISBLANK(INDIRECT("R11.Software!D"&amp;SUM(18,38*0,29))),"",INDIRECT("R11.Software!D"&amp;SUM(18,38*0,29))))</f>
        <v>N/T</v>
      </c>
      <c r="CI48" s="215" t="str" cm="1">
        <f t="array" aca="1" ref="CI48" ca="1">IF($B48="","",IF(ISBLANK(INDIRECT("R11.Software!D"&amp;SUM(18,38*1,29))),"",INDIRECT("R11.Software!D"&amp;SUM(18,38*1,29))))</f>
        <v>N/T</v>
      </c>
      <c r="CJ48" s="215" t="str" cm="1">
        <f t="array" aca="1" ref="CJ48" ca="1">IF($B48="","",IF(ISBLANK(INDIRECT("R11.Software!D"&amp;SUM(18,38*2,29))),"",INDIRECT("R11.Software!D"&amp;SUM(18,38*2,29))))</f>
        <v>N/T</v>
      </c>
      <c r="CK48" s="215" t="str" cm="1">
        <f t="array" aca="1" ref="CK48" ca="1">IF($B48="","",IF(ISBLANK(INDIRECT("R11.Software!D"&amp;SUM(18,38*3,29))),"",INDIRECT("R11.Software!D"&amp;SUM(18,38*3,29))))</f>
        <v>N/T</v>
      </c>
      <c r="CL48" s="215" t="str" cm="1">
        <f t="array" aca="1" ref="CL48" ca="1">IF($B48="","",IF(ISBLANK(INDIRECT("R11.Software!D"&amp;SUM(18,38*4,29))),"",INDIRECT("R11.Software!D"&amp;SUM(18,38*4,29))))</f>
        <v>N/T</v>
      </c>
      <c r="CM48" s="215" t="str" cm="1">
        <f t="array" aca="1" ref="CM48" ca="1">IF($B48="","",IF(ISBLANK(INDIRECT("R11.Software!D"&amp;SUM(18,38*5,29))),"",INDIRECT("R11.Software!D"&amp;SUM(18,38*5,29))))</f>
        <v>N/T</v>
      </c>
      <c r="CN48" s="215" t="str" cm="1">
        <f t="array" aca="1" ref="CN48" ca="1">IF($B48="","",IF(ISBLANK(INDIRECT("R12.ServiciosApoyo!D"&amp;SUM(18,38*0,29))),"",INDIRECT("R12.ServiciosApoyo!D"&amp;SUM(18,38*0,29))))</f>
        <v>N/T</v>
      </c>
      <c r="CO48" s="215" t="str" cm="1">
        <f t="array" aca="1" ref="CO48" ca="1">IF($B48="","",IF(ISBLANK(INDIRECT("R12.ServiciosApoyo!D"&amp;SUM(18,38*1,29))),"",INDIRECT("R12.ServiciosApoyo!D"&amp;SUM(18,38*1,29))))</f>
        <v>N/T</v>
      </c>
      <c r="CP48" s="215" t="str" cm="1">
        <f t="array" aca="1" ref="CP48" ca="1">IF($B48="","",IF(ISBLANK(INDIRECT("R12.ServiciosApoyo!D"&amp;SUM(18,38*2,29))),"",INDIRECT("R12.ServiciosApoyo!D"&amp;SUM(18,38*2,29))))</f>
        <v>N/T</v>
      </c>
      <c r="CQ48" s="215" t="str" cm="1">
        <f t="array" aca="1" ref="CQ48" ca="1">IF($B48="","",IF(ISBLANK(INDIRECT("R12.ServiciosApoyo!D"&amp;SUM(18,38*3,29))),"",INDIRECT("R12.ServiciosApoyo!D"&amp;SUM(18,38*3,29))))</f>
        <v>N/T</v>
      </c>
      <c r="CR48" s="215" t="str" cm="1">
        <f t="array" aca="1" ref="CR48" ca="1">IF($B48="","",IF(ISBLANK(INDIRECT("R12.ServiciosApoyo!D"&amp;SUM(18,38*4,29))),"",INDIRECT("R12.ServiciosApoyo!D"&amp;SUM(18,38*4,29))))</f>
        <v>N/T</v>
      </c>
      <c r="CU48" s="100"/>
      <c r="CV48" s="29"/>
      <c r="CW48" s="29"/>
      <c r="CX48" s="29"/>
    </row>
    <row r="49" spans="2:102" ht="20.25">
      <c r="B49" s="181" t="n" cm="1">
        <f t="array" ref="B49">IFERROR(INDEX('03.Muestra'!$B$8:$B$42,SMALL(IF("Página Web"='03.Muestra'!$D$8:$D$42,ROW('03.Muestra'!$B$8:$B$42)-MIN(ROW('03.Muestra'!$D$8:$D$42))+1,""),ROW()-19)),"")</f>
        <v>1.0</v>
      </c>
      <c r="C49" s="97" t="str" cm="1">
        <f t="array" ref="C49">IFERROR(INDEX('03.Muestra'!$C$8:$C$42,SMALL(IF("Página Web"='03.Muestra'!$D$8:$D$42,ROW('03.Muestra'!$C$8:$C$42)-MIN(ROW('03.Muestra'!$D$8:$D$42))+1,""),ROW()-19)),"")</f>
        <v>Home - PortCastelló</v>
      </c>
      <c r="D49" s="98" t="str" cm="1">
        <f t="array" ref="D49">IFERROR(INDEX('03.Muestra'!$F$8:$F$42,SMALL(IF("Página Web"='03.Muestra'!$D$8:$D$42,ROW('03.Muestra'!$F$8:$F$42)-MIN(ROW('03.Muestra'!$D$8:$D$42))+1,""),ROW()-19)),"")</f>
        <v>https://www.portcastello.com/</v>
      </c>
      <c r="E49" s="215" t="str" cm="1">
        <f t="array" aca="1" ref="E49" ca="1">IF($B49="","",IF(ISBLANK(INDIRECT("R5.Genéricos!D"&amp;SUM(18,38*0,30))),"",INDIRECT("R5.Genéricos!D"&amp;SUM(18,38*0,30))))</f>
        <v>N/T</v>
      </c>
      <c r="F49" s="215" t="str" cm="1">
        <f t="array" aca="1" ref="F49" ca="1">IF($B49="","",IF(ISBLANK(INDIRECT("R5.Genéricos!D"&amp;SUM(18,38*1,30))),"",INDIRECT("R5.Genéricos!D"&amp;SUM(18,38*1,30))))</f>
        <v>N/T</v>
      </c>
      <c r="G49" s="215" t="str" cm="1">
        <f t="array" aca="1" ref="G49" ca="1">IF($B49="","",IF(ISBLANK(INDIRECT("R5.Genéricos!D"&amp;SUM(18,38*2,30))),"",INDIRECT("R5.Genéricos!D"&amp;SUM(18,38*2,30))))</f>
        <v>N/T</v>
      </c>
      <c r="H49" s="215" t="str" cm="1">
        <f t="array" aca="1" ref="H49" ca="1">IF($B49="","",IF(ISBLANK(INDIRECT("R6.Voz!D"&amp;SUM(18,38*0,30))),"",INDIRECT("R6.Voz!D"&amp;SUM(18,38*0,30))))</f>
        <v>N/T</v>
      </c>
      <c r="I49" s="215" t="str" cm="1">
        <f t="array" aca="1" ref="I49" ca="1">IF($B49="","",IF(ISBLANK(INDIRECT("R6.Voz!D"&amp;SUM(18,38*1,30))),"",INDIRECT("R6.Voz!D"&amp;SUM(18,38*1,30))))</f>
        <v>N/T</v>
      </c>
      <c r="J49" s="215" t="str" cm="1">
        <f t="array" aca="1" ref="J49" ca="1">IF($B49="","",IF(ISBLANK(INDIRECT("R6.Voz!D"&amp;SUM(18,38*2,30))),"",INDIRECT("R6.Voz!D"&amp;SUM(18,38*2,30))))</f>
        <v>N/T</v>
      </c>
      <c r="K49" s="215" t="str" cm="1">
        <f t="array" aca="1" ref="K49" ca="1">IF($B49="","",IF(ISBLANK(INDIRECT("R6.Voz!D"&amp;SUM(18,38*3,30))),"",INDIRECT("R6.Voz!D"&amp;SUM(18,38*3,30))))</f>
        <v>N/T</v>
      </c>
      <c r="L49" s="215" t="str" cm="1">
        <f t="array" aca="1" ref="L49" ca="1">IF($B49="","",IF(ISBLANK(INDIRECT("R6.Voz!D"&amp;SUM(18,38*4,30))),"",INDIRECT("R6.Voz!D"&amp;SUM(18,38*4,30))))</f>
        <v>N/T</v>
      </c>
      <c r="M49" s="215" t="str" cm="1">
        <f t="array" aca="1" ref="M49" ca="1">IF($B49="","",IF(ISBLANK(INDIRECT("R6.Voz!D"&amp;SUM(18,38*5,30))),"",INDIRECT("R6.Voz!D"&amp;SUM(18,38*5,30))))</f>
        <v>N/T</v>
      </c>
      <c r="N49" s="215" t="str" cm="1">
        <f t="array" aca="1" ref="N49" ca="1">IF($B49="","",IF(ISBLANK(INDIRECT("R6.Voz!D"&amp;SUM(18,38*6,30))),"",INDIRECT("R6.Voz!D"&amp;SUM(18,38*6,30))))</f>
        <v>N/T</v>
      </c>
      <c r="O49" s="215" t="str" cm="1">
        <f t="array" aca="1" ref="O49" ca="1">IF($B49="","",IF(ISBLANK(INDIRECT("R6.Voz!D"&amp;SUM(18,38*7,30))),"",INDIRECT("R6.Voz!D"&amp;SUM(18,38*7,30))))</f>
        <v>N/T</v>
      </c>
      <c r="P49" s="215" t="str" cm="1">
        <f t="array" aca="1" ref="P49" ca="1">IF($B49="","",IF(ISBLANK(INDIRECT("R6.Voz!D"&amp;SUM(18,38*8,30))),"",INDIRECT("R6.Voz!D"&amp;SUM(18,38*8,30))))</f>
        <v>N/T</v>
      </c>
      <c r="Q49" s="215" t="str" cm="1">
        <f t="array" aca="1" ref="Q49" ca="1">IF($B49="","",IF(ISBLANK(INDIRECT("R6.Voz!D"&amp;SUM(18,38*9,30))),"",INDIRECT("R6.Voz!D"&amp;SUM(18,38*9,30))))</f>
        <v>N/T</v>
      </c>
      <c r="R49" s="215" t="str" cm="1">
        <f t="array" aca="1" ref="R49" ca="1">IF($B49="","",IF(ISBLANK(INDIRECT("R6.Voz!D"&amp;SUM(18,38*10,30))),"",INDIRECT("R6.Voz!D"&amp;SUM(18,38*10,30))))</f>
        <v>N/T</v>
      </c>
      <c r="S49" s="215" t="str" cm="1">
        <f t="array" aca="1" ref="S49" ca="1">IF($B49="","",IF(ISBLANK(INDIRECT("R6.Voz!D"&amp;SUM(18,38*11,30))),"",INDIRECT("R6.Voz!D"&amp;SUM(18,38*11,30))))</f>
        <v>N/T</v>
      </c>
      <c r="T49" s="215" t="str" cm="1">
        <f t="array" aca="1" ref="T49" ca="1">IF($B49="","",IF(ISBLANK(INDIRECT("R6.Voz!D"&amp;SUM(18,38*12,30))),"",INDIRECT("R6.Voz!D"&amp;SUM(18,38*12,30))))</f>
        <v>N/T</v>
      </c>
      <c r="U49" s="215" t="str" cm="1">
        <f t="array" aca="1" ref="U49" ca="1">IF($B49="","",IF(ISBLANK(INDIRECT("R6.Voz!D"&amp;SUM(18,38*13,30))),"",INDIRECT("R6.Voz!D"&amp;SUM(18,38*13,30))))</f>
        <v>N/T</v>
      </c>
      <c r="V49" s="215" t="str" cm="1">
        <f t="array" aca="1" ref="V49" ca="1">IF($B49="","",IF(ISBLANK(INDIRECT("R6.Voz!D"&amp;SUM(18,38*14,30))),"",INDIRECT("R6.Voz!D"&amp;SUM(18,38*14,30))))</f>
        <v>N/T</v>
      </c>
      <c r="W49" s="215" t="str" cm="1">
        <f t="array" aca="1" ref="W49" ca="1">IF($B49="","",IF(ISBLANK(INDIRECT("R6.Voz!D"&amp;SUM(18,38*15,30))),"",INDIRECT("R6.Voz!D"&amp;SUM(18,38*15,30))))</f>
        <v>N/T</v>
      </c>
      <c r="X49" s="215" t="str" cm="1">
        <f t="array" aca="1" ref="X49" ca="1">IF($B49="","",IF(ISBLANK(INDIRECT("R6.Voz!D"&amp;SUM(18,38*16,30))),"",INDIRECT("R6.Voz!D"&amp;SUM(18,38*16,30))))</f>
        <v>N/T</v>
      </c>
      <c r="Y49" s="215" t="str" cm="1">
        <f t="array" aca="1" ref="Y49" ca="1">IF($B49="","",IF(ISBLANK(INDIRECT("R6.Voz!D"&amp;SUM(18,38*17,30))),"",INDIRECT("R6.Voz!D"&amp;SUM(18,38*17,30))))</f>
        <v>N/T</v>
      </c>
      <c r="Z49" s="215" t="str" cm="1">
        <f t="array" aca="1" ref="Z49" ca="1">IF($B49="","",IF(ISBLANK(INDIRECT("R6.Voz!D"&amp;SUM(18,38*18,30))),"",INDIRECT("R6.Voz!D"&amp;SUM(18,38*18,30))))</f>
        <v>N/T</v>
      </c>
      <c r="AA49" s="215" t="str" cm="1">
        <f t="array" aca="1" ref="AA49" ca="1">IF($B49="","",IF(ISBLANK(INDIRECT("R7.Video!D"&amp;SUM(18,38*0,30))),"",INDIRECT("R7.Video!D"&amp;SUM(18,38*0,30))))</f>
        <v>N/T</v>
      </c>
      <c r="AB49" s="215" t="str" cm="1">
        <f t="array" aca="1" ref="AB49" ca="1">IF($B49="","",IF(ISBLANK(INDIRECT("R7.Video!D"&amp;SUM(18,38*1,30))),"",INDIRECT("R7.Video!D"&amp;SUM(18,38*1,30))))</f>
        <v>N/T</v>
      </c>
      <c r="AC49" s="215" t="str" cm="1">
        <f t="array" aca="1" ref="AC49" ca="1">IF($B49="","",IF(ISBLANK(INDIRECT("R7.Video!D"&amp;SUM(18,38*2,30))),"",INDIRECT("R7.Video!D"&amp;SUM(18,38*2,30))))</f>
        <v>N/T</v>
      </c>
      <c r="AD49" s="215" t="str" cm="1">
        <f t="array" aca="1" ref="AD49" ca="1">IF($B49="","",IF(ISBLANK(INDIRECT("R7.Video!D"&amp;SUM(18,38*3,30))),"",INDIRECT("R7.Video!D"&amp;SUM(18,38*3,30))))</f>
        <v>N/T</v>
      </c>
      <c r="AE49" s="215" t="str" cm="1">
        <f t="array" aca="1" ref="AE49" ca="1">IF($B49="","",IF(ISBLANK(INDIRECT("R7.Video!D"&amp;SUM(18,38*4,30))),"",INDIRECT("R7.Video!D"&amp;SUM(18,38*4,30))))</f>
        <v>N/T</v>
      </c>
      <c r="AF49" s="215" t="str" cm="1">
        <f t="array" aca="1" ref="AF49" ca="1">IF($B49="","",IF(ISBLANK(INDIRECT("R7.Video!D"&amp;SUM(18,38*5,30))),"",INDIRECT("R7.Video!D"&amp;SUM(18,38*5,30))))</f>
        <v>N/T</v>
      </c>
      <c r="AG49" s="215" t="str" cm="1">
        <f t="array" aca="1" ref="AG49" ca="1">IF($B49="","",IF(ISBLANK(INDIRECT("R7.Video!D"&amp;SUM(18,38*6,30))),"",INDIRECT("R7.Video!D"&amp;SUM(18,38*6,30))))</f>
        <v>N/T</v>
      </c>
      <c r="AH49" s="215" t="str" cm="1">
        <f t="array" aca="1" ref="AH49" ca="1">IF($B49="","",IF(ISBLANK(INDIRECT("R7.Video!D"&amp;SUM(18,38*7,30))),"",INDIRECT("R7.Video!D"&amp;SUM(18,38*7,30))))</f>
        <v>N/T</v>
      </c>
      <c r="AI49" s="215" t="str" cm="1">
        <f t="array" aca="1" ref="AI49" ca="1">IF($B49="","",IF(ISBLANK(INDIRECT("R7.Video!D"&amp;SUM(18,38*8,30))),"",INDIRECT("R7.Video!D"&amp;SUM(18,38*8,30))))</f>
        <v>N/T</v>
      </c>
      <c r="AJ49" s="215" t="str" cm="1">
        <f t="array" aca="1" ref="AJ49" ca="1">IF($B49="","",IF(ISBLANK(INDIRECT("R9.Web!D"&amp;SUM(18,38*0,30))),"",INDIRECT("R9.Web!D"&amp;SUM(18,38*0,30))))</f>
        <v>N/D</v>
      </c>
      <c r="AK49" s="215" t="str" cm="1">
        <f t="array" aca="1" ref="AK49" ca="1">IF($B49="","",IF(ISBLANK(INDIRECT("R9.Web!D"&amp;SUM(18,38*1,30))),"",INDIRECT("R9.Web!D"&amp;SUM(18,38*1,30))))</f>
        <v>N/T</v>
      </c>
      <c r="AL49" s="215" t="str" cm="1">
        <f t="array" aca="1" ref="AL49" ca="1">IF($B49="","",IF(ISBLANK(INDIRECT("R9.Web!D"&amp;SUM(18,38*2,30))),"",INDIRECT("R9.Web!D"&amp;SUM(18,38*2,30))))</f>
        <v>N/T</v>
      </c>
      <c r="AM49" s="215" t="str" cm="1">
        <f t="array" aca="1" ref="AM49" ca="1">IF($B49="","",IF(ISBLANK(INDIRECT("R9.Web!D"&amp;SUM(18,38*3,30))),"",INDIRECT("R9.Web!D"&amp;SUM(18,38*3,30))))</f>
        <v>N/T</v>
      </c>
      <c r="AN49" s="215" t="str" cm="1">
        <f t="array" aca="1" ref="AN49" ca="1">IF($B49="","",IF(ISBLANK(INDIRECT("R9.Web!D"&amp;SUM(18,38*4,30))),"",INDIRECT("R9.Web!D"&amp;SUM(18,38*4,30))))</f>
        <v>N/T</v>
      </c>
      <c r="AO49" s="215" t="str" cm="1">
        <f t="array" aca="1" ref="AO49" ca="1">IF($B49="","",IF(ISBLANK(INDIRECT("R9.Web!D"&amp;SUM(18,38*5,30))),"",INDIRECT("R9.Web!D"&amp;SUM(18,38*5,30))))</f>
        <v>N/D</v>
      </c>
      <c r="AP49" s="215" t="str" cm="1">
        <f t="array" aca="1" ref="AP49" ca="1">IF($B49="","",IF(ISBLANK(INDIRECT("R9.Web!D"&amp;SUM(18,38*6,30))),"",INDIRECT("R9.Web!D"&amp;SUM(18,38*6,30))))</f>
        <v>N/T</v>
      </c>
      <c r="AQ49" s="215" t="str" cm="1">
        <f t="array" aca="1" ref="AQ49" ca="1">IF($B49="","",IF(ISBLANK(INDIRECT("R9.Web!D"&amp;SUM(18,38*7,30))),"",INDIRECT("R9.Web!D"&amp;SUM(18,38*7,30))))</f>
        <v>N/T</v>
      </c>
      <c r="AR49" s="215" t="str" cm="1">
        <f t="array" aca="1" ref="AR49" ca="1">IF($B49="","",IF(ISBLANK(INDIRECT("R9.Web!D"&amp;SUM(18,38*8,30))),"",INDIRECT("R9.Web!D"&amp;SUM(18,38*8,30))))</f>
        <v>N/D</v>
      </c>
      <c r="AS49" s="215" t="str" cm="1">
        <f t="array" aca="1" ref="AS49" ca="1">IF($B49="","",IF(ISBLANK(INDIRECT("R9.Web!D"&amp;SUM(18,38*9,30))),"",INDIRECT("R9.Web!D"&amp;SUM(18,38*9,30))))</f>
        <v>N/D</v>
      </c>
      <c r="AT49" s="215" t="str" cm="1">
        <f t="array" aca="1" ref="AT49" ca="1">IF($B49="","",IF(ISBLANK(INDIRECT("R9.Web!D"&amp;SUM(18,38*10,30))),"",INDIRECT("R9.Web!D"&amp;SUM(18,38*10,30))))</f>
        <v>N/T</v>
      </c>
      <c r="AU49" s="215" t="str" cm="1">
        <f t="array" aca="1" ref="AU49" ca="1">IF($B49="","",IF(ISBLANK(INDIRECT("R9.Web!D"&amp;SUM(18,38*11,30))),"",INDIRECT("R9.Web!D"&amp;SUM(18,38*11,30))))</f>
        <v>N/T</v>
      </c>
      <c r="AV49" s="215" t="str" cm="1">
        <f t="array" aca="1" ref="AV49" ca="1">IF($B49="","",IF(ISBLANK(INDIRECT("R9.Web!D"&amp;SUM(18,38*12,30))),"",INDIRECT("R9.Web!D"&amp;SUM(18,38*12,30))))</f>
        <v>N/D</v>
      </c>
      <c r="AW49" s="215" t="str" cm="1">
        <f t="array" aca="1" ref="AW49" ca="1">IF($B49="","",IF(ISBLANK(INDIRECT("R9.Web!D"&amp;SUM(18,38*13,30))),"",INDIRECT("R9.Web!D"&amp;SUM(18,38*13,30))))</f>
        <v>N/T</v>
      </c>
      <c r="AX49" s="215" t="str" cm="1">
        <f t="array" aca="1" ref="AX49" ca="1">IF($B49="","",IF(ISBLANK(INDIRECT("R9.Web!D"&amp;SUM(18,38*14,30))),"",INDIRECT("R9.Web!D"&amp;SUM(18,38*14,30))))</f>
        <v>N/T</v>
      </c>
      <c r="AY49" s="215" t="str" cm="1">
        <f t="array" aca="1" ref="AY49" ca="1">IF($B49="","",IF(ISBLANK(INDIRECT("R9.Web!D"&amp;SUM(18,38*15,30))),"",INDIRECT("R9.Web!D"&amp;SUM(18,38*15,30))))</f>
        <v>N/D</v>
      </c>
      <c r="AZ49" s="215" t="str" cm="1">
        <f t="array" aca="1" ref="AZ49" ca="1">IF($B49="","",IF(ISBLANK(INDIRECT("R9.Web!D"&amp;SUM(18,38*16,30))),"",INDIRECT("R9.Web!D"&amp;SUM(18,38*16,30))))</f>
        <v>N/T</v>
      </c>
      <c r="BA49" s="215" t="str" cm="1">
        <f t="array" aca="1" ref="BA49" ca="1">IF($B49="","",IF(ISBLANK(INDIRECT("R9.Web!D"&amp;SUM(18,38*17,30))),"",INDIRECT("R9.Web!D"&amp;SUM(18,38*17,30))))</f>
        <v>N/D</v>
      </c>
      <c r="BB49" s="215" t="str" cm="1">
        <f t="array" aca="1" ref="BB49" ca="1">IF($B49="","",IF(ISBLANK(INDIRECT("R9.Web!D"&amp;SUM(18,38*18,30))),"",INDIRECT("R9.Web!D"&amp;SUM(18,38*18,30))))</f>
        <v>N/T</v>
      </c>
      <c r="BC49" s="215" t="str" cm="1">
        <f t="array" aca="1" ref="BC49" ca="1">IF($B49="","",IF(ISBLANK(INDIRECT("R9.Web!D"&amp;SUM(18,38*19,30))),"",INDIRECT("R9.Web!D"&amp;SUM(18,38*19,30))))</f>
        <v>N/D</v>
      </c>
      <c r="BD49" s="215" t="str" cm="1">
        <f t="array" aca="1" ref="BD49" ca="1">IF($B49="","",IF(ISBLANK(INDIRECT("R9.Web!D"&amp;SUM(18,38*20,30))),"",INDIRECT("R9.Web!D"&amp;SUM(18,38*20,30))))</f>
        <v>N/T</v>
      </c>
      <c r="BE49" s="215" t="str" cm="1">
        <f t="array" aca="1" ref="BE49" ca="1">IF($B49="","",IF(ISBLANK(INDIRECT("R9.Web!D"&amp;SUM(18,38*21,30))),"",INDIRECT("R9.Web!D"&amp;SUM(18,38*21,30))))</f>
        <v>N/T</v>
      </c>
      <c r="BF49" s="215" t="str" cm="1">
        <f t="array" aca="1" ref="BF49" ca="1">IF($B49="","",IF(ISBLANK(INDIRECT("R9.Web!D"&amp;SUM(18,38*22,30))),"",INDIRECT("R9.Web!D"&amp;SUM(18,38*22,30))))</f>
        <v>N/D</v>
      </c>
      <c r="BG49" s="215" t="str" cm="1">
        <f t="array" aca="1" ref="BG49" ca="1">IF($B49="","",IF(ISBLANK(INDIRECT("R9.Web!D"&amp;SUM(18,38*23,30))),"",INDIRECT("R9.Web!D"&amp;SUM(18,38*23,30))))</f>
        <v>N/D</v>
      </c>
      <c r="BH49" s="215" t="str" cm="1">
        <f t="array" aca="1" ref="BH49" ca="1">IF($B49="","",IF(ISBLANK(INDIRECT("R9.Web!D"&amp;SUM(18,38*24,30))),"",INDIRECT("R9.Web!D"&amp;SUM(18,38*24,30))))</f>
        <v>N/T</v>
      </c>
      <c r="BI49" s="215" t="str" cm="1">
        <f t="array" aca="1" ref="BI49" ca="1">IF($B49="","",IF(ISBLANK(INDIRECT("R9.Web!D"&amp;SUM(18,38*25,30))),"",INDIRECT("R9.Web!D"&amp;SUM(18,38*25,30))))</f>
        <v>N/D</v>
      </c>
      <c r="BJ49" s="215" t="str" cm="1">
        <f t="array" aca="1" ref="BJ49" ca="1">IF($B49="","",IF(ISBLANK(INDIRECT("R9.Web!D"&amp;SUM(18,38*26,30))),"",INDIRECT("R9.Web!D"&amp;SUM(18,38*26,30))))</f>
        <v>N/D</v>
      </c>
      <c r="BK49" s="215" t="str" cm="1">
        <f t="array" aca="1" ref="BK49" ca="1">IF($B49="","",IF(ISBLANK(INDIRECT("R9.Web!D"&amp;SUM(18,38*27,30))),"",INDIRECT("R9.Web!D"&amp;SUM(18,38*27,30))))</f>
        <v>N/D</v>
      </c>
      <c r="BL49" s="215" t="str" cm="1">
        <f t="array" aca="1" ref="BL49" ca="1">IF($B49="","",IF(ISBLANK(INDIRECT("R9.Web!D"&amp;SUM(18,38*28,30))),"",INDIRECT("R9.Web!D"&amp;SUM(18,38*28,30))))</f>
        <v>Falla</v>
      </c>
      <c r="BM49" s="215" t="str" cm="1">
        <f t="array" aca="1" ref="BM49" ca="1">IF($B49="","",IF(ISBLANK(INDIRECT("R9.Web!D"&amp;SUM(18,38*29,30))),"",INDIRECT("R9.Web!D"&amp;SUM(18,38*29,30))))</f>
        <v>N/D</v>
      </c>
      <c r="BN49" s="215" t="str" cm="1">
        <f t="array" aca="1" ref="BN49" ca="1">IF($B49="","",IF(ISBLANK(INDIRECT("R9.Web!D"&amp;SUM(18,38*30,30))),"",INDIRECT("R9.Web!D"&amp;SUM(18,38*30,30))))</f>
        <v>N/T</v>
      </c>
      <c r="BO49" s="215" t="str" cm="1">
        <f t="array" aca="1" ref="BO49" ca="1">IF($B49="","",IF(ISBLANK(INDIRECT("R9.Web!D"&amp;SUM(18,38*31,30))),"",INDIRECT("R9.Web!D"&amp;SUM(18,38*31,30))))</f>
        <v>N/D</v>
      </c>
      <c r="BP49" s="215" t="str" cm="1">
        <f t="array" aca="1" ref="BP49" ca="1">IF($B49="","",IF(ISBLANK(INDIRECT("R9.Web!D"&amp;SUM(18,38*32,30))),"",INDIRECT("R9.Web!D"&amp;SUM(18,38*32,30))))</f>
        <v>N/T</v>
      </c>
      <c r="BQ49" s="215" t="str" cm="1">
        <f t="array" aca="1" ref="BQ49" ca="1">IF($B49="","",IF(ISBLANK(INDIRECT("R9.Web!D"&amp;SUM(18,38*33,30))),"",INDIRECT("R9.Web!D"&amp;SUM(18,38*33,30))))</f>
        <v>N/T</v>
      </c>
      <c r="BR49" s="215" t="str" cm="1">
        <f t="array" aca="1" ref="BR49" ca="1">IF($B49="","",IF(ISBLANK(INDIRECT("R9.Web!D"&amp;SUM(18,38*34,30))),"",INDIRECT("R9.Web!D"&amp;SUM(18,38*34,30))))</f>
        <v>N/D</v>
      </c>
      <c r="BS49" s="215" t="str" cm="1">
        <f t="array" aca="1" ref="BS49" ca="1">IF($B49="","",IF(ISBLANK(INDIRECT("R9.Web!D"&amp;SUM(18,38*35,30))),"",INDIRECT("R9.Web!D"&amp;SUM(18,38*35,30))))</f>
        <v>N/T</v>
      </c>
      <c r="BT49" s="215" t="str" cm="1">
        <f t="array" aca="1" ref="BT49" ca="1">IF($B49="","",IF(ISBLANK(INDIRECT("R9.Web!D"&amp;SUM(18,38*36,30))),"",INDIRECT("R9.Web!D"&amp;SUM(18,38*36,30))))</f>
        <v>N/D</v>
      </c>
      <c r="BU49" s="215" t="str" cm="1">
        <f t="array" aca="1" ref="BU49" ca="1">IF($B49="","",IF(ISBLANK(INDIRECT("R9.Web!D"&amp;SUM(18,38*37,30))),"",INDIRECT("R9.Web!D"&amp;SUM(18,38*37,30))))</f>
        <v>N/D</v>
      </c>
      <c r="BV49" s="215" t="str" cm="1">
        <f t="array" aca="1" ref="BV49" ca="1">IF($B49="","",IF(ISBLANK(INDIRECT("R9.Web!D"&amp;SUM(18,38*38,30))),"",INDIRECT("R9.Web!D"&amp;SUM(18,38*38,30))))</f>
        <v>N/D</v>
      </c>
      <c r="BW49" s="215" t="str" cm="1">
        <f t="array" aca="1" ref="BW49" ca="1">IF($B49="","",IF(ISBLANK(INDIRECT("R9.Web!D"&amp;SUM(18,38*39,30))),"",INDIRECT("R9.Web!D"&amp;SUM(18,38*39,30))))</f>
        <v>N/D</v>
      </c>
      <c r="BX49" s="215" t="str" cm="1">
        <f t="array" aca="1" ref="BX49" ca="1">IF($B49="","",IF(ISBLANK(INDIRECT("R9.Web!D"&amp;SUM(18,38*40,30))),"",INDIRECT("R9.Web!D"&amp;SUM(18,38*40,30))))</f>
        <v>N/D</v>
      </c>
      <c r="BY49" s="215" t="str" cm="1">
        <f t="array" aca="1" ref="BY49" ca="1">IF($B49="","",IF(ISBLANK(INDIRECT("R9.Web!D"&amp;SUM(18,38*41,30))),"",INDIRECT("R9.Web!D"&amp;SUM(18,38*41,30))))</f>
        <v>N/T</v>
      </c>
      <c r="BZ49" s="215" t="str" cm="1">
        <f t="array" aca="1" ref="BZ49" ca="1">IF($B49="","",IF(ISBLANK(INDIRECT("R9.Web!D"&amp;SUM(18,38*42,30))),"",INDIRECT("R9.Web!D"&amp;SUM(18,38*42,30))))</f>
        <v>N/T</v>
      </c>
      <c r="CA49" s="215" t="str" cm="1">
        <f t="array" aca="1" ref="CA49" ca="1">IF($B49="","",IF(ISBLANK(INDIRECT("R9.Web!D"&amp;SUM(18,38*43,30))),"",INDIRECT("R9.Web!D"&amp;SUM(18,38*43,30))))</f>
        <v>N/D</v>
      </c>
      <c r="CB49" s="215" t="str" cm="1">
        <f t="array" aca="1" ref="CB49" ca="1">IF($B49="","",IF(ISBLANK(INDIRECT("R9.Web!D"&amp;SUM(18,38*44,30))),"",INDIRECT("R9.Web!D"&amp;SUM(18,38*44,30))))</f>
        <v>N/T</v>
      </c>
      <c r="CC49" s="215" t="str" cm="1">
        <f t="array" aca="1" ref="CC49" ca="1">IF($B49="","",IF(ISBLANK(INDIRECT("R9.Web!D"&amp;SUM(18,38*45,30))),"",INDIRECT("R9.Web!D"&amp;SUM(18,38*45,30))))</f>
        <v>N/T</v>
      </c>
      <c r="CD49" s="215" t="str" cm="1">
        <f t="array" aca="1" ref="CD49" ca="1">IF($B49="","",IF(ISBLANK(INDIRECT("R9.Web!D"&amp;SUM(18,38*46,30))),"",INDIRECT("R9.Web!D"&amp;SUM(18,38*46,30))))</f>
        <v>N/T</v>
      </c>
      <c r="CE49" s="215" t="str" cm="1">
        <f t="array" aca="1" ref="CE49" ca="1">IF($B49="","",IF(ISBLANK(INDIRECT("R9.Web!D"&amp;SUM(18,38*47,30))),"",INDIRECT("R9.Web!D"&amp;SUM(18,38*47,30))))</f>
        <v>N/D</v>
      </c>
      <c r="CF49" s="215" t="str" cm="1">
        <f t="array" aca="1" ref="CF49" ca="1">IF($B49="","",IF(ISBLANK(INDIRECT("R9.Web!D"&amp;SUM(18,38*48,30))),"",INDIRECT("R9.Web!D"&amp;SUM(18,38*48,30))))</f>
        <v>N/T</v>
      </c>
      <c r="CG49" s="215" t="str" cm="1">
        <f t="array" aca="1" ref="CG49" ca="1">IF($B49="","",IF(ISBLANK(INDIRECT("R9.Web!D"&amp;SUM(18,38*49,30))),"",INDIRECT("R9.Web!D"&amp;SUM(18,38*49,30))))</f>
        <v>N/T</v>
      </c>
      <c r="CH49" s="215" t="str" cm="1">
        <f t="array" aca="1" ref="CH49" ca="1">IF($B49="","",IF(ISBLANK(INDIRECT("R11.Software!D"&amp;SUM(18,38*0,30))),"",INDIRECT("R11.Software!D"&amp;SUM(18,38*0,30))))</f>
        <v>N/T</v>
      </c>
      <c r="CI49" s="215" t="str" cm="1">
        <f t="array" aca="1" ref="CI49" ca="1">IF($B49="","",IF(ISBLANK(INDIRECT("R11.Software!D"&amp;SUM(18,38*1,30))),"",INDIRECT("R11.Software!D"&amp;SUM(18,38*1,30))))</f>
        <v>N/T</v>
      </c>
      <c r="CJ49" s="215" t="str" cm="1">
        <f t="array" aca="1" ref="CJ49" ca="1">IF($B49="","",IF(ISBLANK(INDIRECT("R11.Software!D"&amp;SUM(18,38*2,30))),"",INDIRECT("R11.Software!D"&amp;SUM(18,38*2,30))))</f>
        <v>N/T</v>
      </c>
      <c r="CK49" s="215" t="str" cm="1">
        <f t="array" aca="1" ref="CK49" ca="1">IF($B49="","",IF(ISBLANK(INDIRECT("R11.Software!D"&amp;SUM(18,38*3,30))),"",INDIRECT("R11.Software!D"&amp;SUM(18,38*3,30))))</f>
        <v>N/T</v>
      </c>
      <c r="CL49" s="215" t="str" cm="1">
        <f t="array" aca="1" ref="CL49" ca="1">IF($B49="","",IF(ISBLANK(INDIRECT("R11.Software!D"&amp;SUM(18,38*4,30))),"",INDIRECT("R11.Software!D"&amp;SUM(18,38*4,30))))</f>
        <v>N/T</v>
      </c>
      <c r="CM49" s="215" t="str" cm="1">
        <f t="array" aca="1" ref="CM49" ca="1">IF($B49="","",IF(ISBLANK(INDIRECT("R11.Software!D"&amp;SUM(18,38*5,30))),"",INDIRECT("R11.Software!D"&amp;SUM(18,38*5,30))))</f>
        <v>N/T</v>
      </c>
      <c r="CN49" s="215" t="str" cm="1">
        <f t="array" aca="1" ref="CN49" ca="1">IF($B49="","",IF(ISBLANK(INDIRECT("R12.ServiciosApoyo!D"&amp;SUM(18,38*0,30))),"",INDIRECT("R12.ServiciosApoyo!D"&amp;SUM(18,38*0,30))))</f>
        <v>N/T</v>
      </c>
      <c r="CO49" s="215" t="str" cm="1">
        <f t="array" aca="1" ref="CO49" ca="1">IF($B49="","",IF(ISBLANK(INDIRECT("R12.ServiciosApoyo!D"&amp;SUM(18,38*1,30))),"",INDIRECT("R12.ServiciosApoyo!D"&amp;SUM(18,38*1,30))))</f>
        <v>N/T</v>
      </c>
      <c r="CP49" s="215" t="str" cm="1">
        <f t="array" aca="1" ref="CP49" ca="1">IF($B49="","",IF(ISBLANK(INDIRECT("R12.ServiciosApoyo!D"&amp;SUM(18,38*2,30))),"",INDIRECT("R12.ServiciosApoyo!D"&amp;SUM(18,38*2,30))))</f>
        <v>N/T</v>
      </c>
      <c r="CQ49" s="215" t="str" cm="1">
        <f t="array" aca="1" ref="CQ49" ca="1">IF($B49="","",IF(ISBLANK(INDIRECT("R12.ServiciosApoyo!D"&amp;SUM(18,38*3,30))),"",INDIRECT("R12.ServiciosApoyo!D"&amp;SUM(18,38*3,30))))</f>
        <v>N/T</v>
      </c>
      <c r="CR49" s="215" t="str" cm="1">
        <f t="array" aca="1" ref="CR49" ca="1">IF($B49="","",IF(ISBLANK(INDIRECT("R12.ServiciosApoyo!D"&amp;SUM(18,38*4,30))),"",INDIRECT("R12.ServiciosApoyo!D"&amp;SUM(18,38*4,30))))</f>
        <v>N/T</v>
      </c>
      <c r="CU49" s="100"/>
      <c r="CV49" s="29"/>
      <c r="CW49" s="29"/>
      <c r="CX49" s="29"/>
    </row>
    <row r="50" spans="2:102" ht="20.25">
      <c r="B50" s="181" t="n" cm="1">
        <f t="array" ref="B50">IFERROR(INDEX('03.Muestra'!$B$8:$B$42,SMALL(IF("Página Web"='03.Muestra'!$D$8:$D$42,ROW('03.Muestra'!$B$8:$B$42)-MIN(ROW('03.Muestra'!$D$8:$D$42))+1,""),ROW()-19)),"")</f>
        <v>1.0</v>
      </c>
      <c r="C50" s="97" t="str" cm="1">
        <f t="array" ref="C50">IFERROR(INDEX('03.Muestra'!$C$8:$C$42,SMALL(IF("Página Web"='03.Muestra'!$D$8:$D$42,ROW('03.Muestra'!$C$8:$C$42)-MIN(ROW('03.Muestra'!$D$8:$D$42))+1,""),ROW()-19)),"")</f>
        <v>Home - PortCastelló</v>
      </c>
      <c r="D50" s="98" t="str" cm="1">
        <f t="array" ref="D50">IFERROR(INDEX('03.Muestra'!$F$8:$F$42,SMALL(IF("Página Web"='03.Muestra'!$D$8:$D$42,ROW('03.Muestra'!$F$8:$F$42)-MIN(ROW('03.Muestra'!$D$8:$D$42))+1,""),ROW()-19)),"")</f>
        <v>https://www.portcastello.com/</v>
      </c>
      <c r="E50" s="215" t="str" cm="1">
        <f t="array" aca="1" ref="E50" ca="1">IF($B50="","",IF(ISBLANK(INDIRECT("R5.Genéricos!D"&amp;SUM(18,38*0,31))),"",INDIRECT("R5.Genéricos!D"&amp;SUM(18,38*0,31))))</f>
        <v>N/T</v>
      </c>
      <c r="F50" s="215" t="str" cm="1">
        <f t="array" aca="1" ref="F50" ca="1">IF($B50="","",IF(ISBLANK(INDIRECT("R5.Genéricos!D"&amp;SUM(18,38*1,31))),"",INDIRECT("R5.Genéricos!D"&amp;SUM(18,38*1,31))))</f>
        <v>N/T</v>
      </c>
      <c r="G50" s="215" t="str" cm="1">
        <f t="array" aca="1" ref="G50" ca="1">IF($B50="","",IF(ISBLANK(INDIRECT("R5.Genéricos!D"&amp;SUM(18,38*2,31))),"",INDIRECT("R5.Genéricos!D"&amp;SUM(18,38*2,31))))</f>
        <v>N/T</v>
      </c>
      <c r="H50" s="215" t="str" cm="1">
        <f t="array" aca="1" ref="H50" ca="1">IF($B50="","",IF(ISBLANK(INDIRECT("R6.Voz!D"&amp;SUM(18,38*0,31))),"",INDIRECT("R6.Voz!D"&amp;SUM(18,38*0,31))))</f>
        <v>N/T</v>
      </c>
      <c r="I50" s="215" t="str" cm="1">
        <f t="array" aca="1" ref="I50" ca="1">IF($B50="","",IF(ISBLANK(INDIRECT("R6.Voz!D"&amp;SUM(18,38*1,31))),"",INDIRECT("R6.Voz!D"&amp;SUM(18,38*1,31))))</f>
        <v>N/T</v>
      </c>
      <c r="J50" s="215" t="str" cm="1">
        <f t="array" aca="1" ref="J50" ca="1">IF($B50="","",IF(ISBLANK(INDIRECT("R6.Voz!D"&amp;SUM(18,38*2,31))),"",INDIRECT("R6.Voz!D"&amp;SUM(18,38*2,31))))</f>
        <v>N/T</v>
      </c>
      <c r="K50" s="215" t="str" cm="1">
        <f t="array" aca="1" ref="K50" ca="1">IF($B50="","",IF(ISBLANK(INDIRECT("R6.Voz!D"&amp;SUM(18,38*3,31))),"",INDIRECT("R6.Voz!D"&amp;SUM(18,38*3,31))))</f>
        <v>N/T</v>
      </c>
      <c r="L50" s="215" t="str" cm="1">
        <f t="array" aca="1" ref="L50" ca="1">IF($B50="","",IF(ISBLANK(INDIRECT("R6.Voz!D"&amp;SUM(18,38*4,31))),"",INDIRECT("R6.Voz!D"&amp;SUM(18,38*4,31))))</f>
        <v>N/T</v>
      </c>
      <c r="M50" s="215" t="str" cm="1">
        <f t="array" aca="1" ref="M50" ca="1">IF($B50="","",IF(ISBLANK(INDIRECT("R6.Voz!D"&amp;SUM(18,38*5,31))),"",INDIRECT("R6.Voz!D"&amp;SUM(18,38*5,31))))</f>
        <v>N/T</v>
      </c>
      <c r="N50" s="215" t="str" cm="1">
        <f t="array" aca="1" ref="N50" ca="1">IF($B50="","",IF(ISBLANK(INDIRECT("R6.Voz!D"&amp;SUM(18,38*6,31))),"",INDIRECT("R6.Voz!D"&amp;SUM(18,38*6,31))))</f>
        <v>N/T</v>
      </c>
      <c r="O50" s="215" t="str" cm="1">
        <f t="array" aca="1" ref="O50" ca="1">IF($B50="","",IF(ISBLANK(INDIRECT("R6.Voz!D"&amp;SUM(18,38*7,31))),"",INDIRECT("R6.Voz!D"&amp;SUM(18,38*7,31))))</f>
        <v>N/T</v>
      </c>
      <c r="P50" s="215" t="str" cm="1">
        <f t="array" aca="1" ref="P50" ca="1">IF($B50="","",IF(ISBLANK(INDIRECT("R6.Voz!D"&amp;SUM(18,38*8,31))),"",INDIRECT("R6.Voz!D"&amp;SUM(18,38*8,31))))</f>
        <v>N/T</v>
      </c>
      <c r="Q50" s="215" t="str" cm="1">
        <f t="array" aca="1" ref="Q50" ca="1">IF($B50="","",IF(ISBLANK(INDIRECT("R6.Voz!D"&amp;SUM(18,38*9,31))),"",INDIRECT("R6.Voz!D"&amp;SUM(18,38*9,31))))</f>
        <v>N/T</v>
      </c>
      <c r="R50" s="215" t="str" cm="1">
        <f t="array" aca="1" ref="R50" ca="1">IF($B50="","",IF(ISBLANK(INDIRECT("R6.Voz!D"&amp;SUM(18,38*10,31))),"",INDIRECT("R6.Voz!D"&amp;SUM(18,38*10,31))))</f>
        <v>N/T</v>
      </c>
      <c r="S50" s="215" t="str" cm="1">
        <f t="array" aca="1" ref="S50" ca="1">IF($B50="","",IF(ISBLANK(INDIRECT("R6.Voz!D"&amp;SUM(18,38*11,31))),"",INDIRECT("R6.Voz!D"&amp;SUM(18,38*11,31))))</f>
        <v>N/T</v>
      </c>
      <c r="T50" s="215" t="str" cm="1">
        <f t="array" aca="1" ref="T50" ca="1">IF($B50="","",IF(ISBLANK(INDIRECT("R6.Voz!D"&amp;SUM(18,38*12,31))),"",INDIRECT("R6.Voz!D"&amp;SUM(18,38*12,31))))</f>
        <v>N/T</v>
      </c>
      <c r="U50" s="215" t="str" cm="1">
        <f t="array" aca="1" ref="U50" ca="1">IF($B50="","",IF(ISBLANK(INDIRECT("R6.Voz!D"&amp;SUM(18,38*13,31))),"",INDIRECT("R6.Voz!D"&amp;SUM(18,38*13,31))))</f>
        <v>N/T</v>
      </c>
      <c r="V50" s="215" t="str" cm="1">
        <f t="array" aca="1" ref="V50" ca="1">IF($B50="","",IF(ISBLANK(INDIRECT("R6.Voz!D"&amp;SUM(18,38*14,31))),"",INDIRECT("R6.Voz!D"&amp;SUM(18,38*14,31))))</f>
        <v>N/T</v>
      </c>
      <c r="W50" s="215" t="str" cm="1">
        <f t="array" aca="1" ref="W50" ca="1">IF($B50="","",IF(ISBLANK(INDIRECT("R6.Voz!D"&amp;SUM(18,38*15,31))),"",INDIRECT("R6.Voz!D"&amp;SUM(18,38*15,31))))</f>
        <v>N/T</v>
      </c>
      <c r="X50" s="215" t="str" cm="1">
        <f t="array" aca="1" ref="X50" ca="1">IF($B50="","",IF(ISBLANK(INDIRECT("R6.Voz!D"&amp;SUM(18,38*16,31))),"",INDIRECT("R6.Voz!D"&amp;SUM(18,38*16,31))))</f>
        <v>N/T</v>
      </c>
      <c r="Y50" s="215" t="str" cm="1">
        <f t="array" aca="1" ref="Y50" ca="1">IF($B50="","",IF(ISBLANK(INDIRECT("R6.Voz!D"&amp;SUM(18,38*17,31))),"",INDIRECT("R6.Voz!D"&amp;SUM(18,38*17,31))))</f>
        <v>N/T</v>
      </c>
      <c r="Z50" s="215" t="str" cm="1">
        <f t="array" aca="1" ref="Z50" ca="1">IF($B50="","",IF(ISBLANK(INDIRECT("R6.Voz!D"&amp;SUM(18,38*18,31))),"",INDIRECT("R6.Voz!D"&amp;SUM(18,38*18,31))))</f>
        <v>N/T</v>
      </c>
      <c r="AA50" s="215" t="str" cm="1">
        <f t="array" aca="1" ref="AA50" ca="1">IF($B50="","",IF(ISBLANK(INDIRECT("R7.Video!D"&amp;SUM(18,38*0,31))),"",INDIRECT("R7.Video!D"&amp;SUM(18,38*0,31))))</f>
        <v>N/T</v>
      </c>
      <c r="AB50" s="215" t="str" cm="1">
        <f t="array" aca="1" ref="AB50" ca="1">IF($B50="","",IF(ISBLANK(INDIRECT("R7.Video!D"&amp;SUM(18,38*1,31))),"",INDIRECT("R7.Video!D"&amp;SUM(18,38*1,31))))</f>
        <v>N/T</v>
      </c>
      <c r="AC50" s="215" t="str" cm="1">
        <f t="array" aca="1" ref="AC50" ca="1">IF($B50="","",IF(ISBLANK(INDIRECT("R7.Video!D"&amp;SUM(18,38*2,31))),"",INDIRECT("R7.Video!D"&amp;SUM(18,38*2,31))))</f>
        <v>N/T</v>
      </c>
      <c r="AD50" s="215" t="str" cm="1">
        <f t="array" aca="1" ref="AD50" ca="1">IF($B50="","",IF(ISBLANK(INDIRECT("R7.Video!D"&amp;SUM(18,38*3,31))),"",INDIRECT("R7.Video!D"&amp;SUM(18,38*3,31))))</f>
        <v>N/T</v>
      </c>
      <c r="AE50" s="215" t="str" cm="1">
        <f t="array" aca="1" ref="AE50" ca="1">IF($B50="","",IF(ISBLANK(INDIRECT("R7.Video!D"&amp;SUM(18,38*4,31))),"",INDIRECT("R7.Video!D"&amp;SUM(18,38*4,31))))</f>
        <v>N/T</v>
      </c>
      <c r="AF50" s="215" t="str" cm="1">
        <f t="array" aca="1" ref="AF50" ca="1">IF($B50="","",IF(ISBLANK(INDIRECT("R7.Video!D"&amp;SUM(18,38*5,31))),"",INDIRECT("R7.Video!D"&amp;SUM(18,38*5,31))))</f>
        <v>N/T</v>
      </c>
      <c r="AG50" s="215" t="str" cm="1">
        <f t="array" aca="1" ref="AG50" ca="1">IF($B50="","",IF(ISBLANK(INDIRECT("R7.Video!D"&amp;SUM(18,38*6,31))),"",INDIRECT("R7.Video!D"&amp;SUM(18,38*6,31))))</f>
        <v>N/T</v>
      </c>
      <c r="AH50" s="215" t="str" cm="1">
        <f t="array" aca="1" ref="AH50" ca="1">IF($B50="","",IF(ISBLANK(INDIRECT("R7.Video!D"&amp;SUM(18,38*7,31))),"",INDIRECT("R7.Video!D"&amp;SUM(18,38*7,31))))</f>
        <v>N/T</v>
      </c>
      <c r="AI50" s="215" t="str" cm="1">
        <f t="array" aca="1" ref="AI50" ca="1">IF($B50="","",IF(ISBLANK(INDIRECT("R7.Video!D"&amp;SUM(18,38*8,31))),"",INDIRECT("R7.Video!D"&amp;SUM(18,38*8,31))))</f>
        <v>N/T</v>
      </c>
      <c r="AJ50" s="215" t="str" cm="1">
        <f t="array" aca="1" ref="AJ50" ca="1">IF($B50="","",IF(ISBLANK(INDIRECT("R9.Web!D"&amp;SUM(18,38*0,31))),"",INDIRECT("R9.Web!D"&amp;SUM(18,38*0,31))))</f>
        <v>N/D</v>
      </c>
      <c r="AK50" s="215" t="str" cm="1">
        <f t="array" aca="1" ref="AK50" ca="1">IF($B50="","",IF(ISBLANK(INDIRECT("R9.Web!D"&amp;SUM(18,38*1,31))),"",INDIRECT("R9.Web!D"&amp;SUM(18,38*1,31))))</f>
        <v>N/T</v>
      </c>
      <c r="AL50" s="215" t="str" cm="1">
        <f t="array" aca="1" ref="AL50" ca="1">IF($B50="","",IF(ISBLANK(INDIRECT("R9.Web!D"&amp;SUM(18,38*2,31))),"",INDIRECT("R9.Web!D"&amp;SUM(18,38*2,31))))</f>
        <v>N/T</v>
      </c>
      <c r="AM50" s="215" t="str" cm="1">
        <f t="array" aca="1" ref="AM50" ca="1">IF($B50="","",IF(ISBLANK(INDIRECT("R9.Web!D"&amp;SUM(18,38*3,31))),"",INDIRECT("R9.Web!D"&amp;SUM(18,38*3,31))))</f>
        <v>N/T</v>
      </c>
      <c r="AN50" s="215" t="str" cm="1">
        <f t="array" aca="1" ref="AN50" ca="1">IF($B50="","",IF(ISBLANK(INDIRECT("R9.Web!D"&amp;SUM(18,38*4,31))),"",INDIRECT("R9.Web!D"&amp;SUM(18,38*4,31))))</f>
        <v>N/T</v>
      </c>
      <c r="AO50" s="215" t="str" cm="1">
        <f t="array" aca="1" ref="AO50" ca="1">IF($B50="","",IF(ISBLANK(INDIRECT("R9.Web!D"&amp;SUM(18,38*5,31))),"",INDIRECT("R9.Web!D"&amp;SUM(18,38*5,31))))</f>
        <v>N/D</v>
      </c>
      <c r="AP50" s="215" t="str" cm="1">
        <f t="array" aca="1" ref="AP50" ca="1">IF($B50="","",IF(ISBLANK(INDIRECT("R9.Web!D"&amp;SUM(18,38*6,31))),"",INDIRECT("R9.Web!D"&amp;SUM(18,38*6,31))))</f>
        <v>N/T</v>
      </c>
      <c r="AQ50" s="215" t="str" cm="1">
        <f t="array" aca="1" ref="AQ50" ca="1">IF($B50="","",IF(ISBLANK(INDIRECT("R9.Web!D"&amp;SUM(18,38*7,31))),"",INDIRECT("R9.Web!D"&amp;SUM(18,38*7,31))))</f>
        <v>N/T</v>
      </c>
      <c r="AR50" s="215" t="str" cm="1">
        <f t="array" aca="1" ref="AR50" ca="1">IF($B50="","",IF(ISBLANK(INDIRECT("R9.Web!D"&amp;SUM(18,38*8,31))),"",INDIRECT("R9.Web!D"&amp;SUM(18,38*8,31))))</f>
        <v>N/D</v>
      </c>
      <c r="AS50" s="215" t="str" cm="1">
        <f t="array" aca="1" ref="AS50" ca="1">IF($B50="","",IF(ISBLANK(INDIRECT("R9.Web!D"&amp;SUM(18,38*9,31))),"",INDIRECT("R9.Web!D"&amp;SUM(18,38*9,31))))</f>
        <v>N/D</v>
      </c>
      <c r="AT50" s="215" t="str" cm="1">
        <f t="array" aca="1" ref="AT50" ca="1">IF($B50="","",IF(ISBLANK(INDIRECT("R9.Web!D"&amp;SUM(18,38*10,31))),"",INDIRECT("R9.Web!D"&amp;SUM(18,38*10,31))))</f>
        <v>N/T</v>
      </c>
      <c r="AU50" s="215" t="str" cm="1">
        <f t="array" aca="1" ref="AU50" ca="1">IF($B50="","",IF(ISBLANK(INDIRECT("R9.Web!D"&amp;SUM(18,38*11,31))),"",INDIRECT("R9.Web!D"&amp;SUM(18,38*11,31))))</f>
        <v>N/T</v>
      </c>
      <c r="AV50" s="215" t="str" cm="1">
        <f t="array" aca="1" ref="AV50" ca="1">IF($B50="","",IF(ISBLANK(INDIRECT("R9.Web!D"&amp;SUM(18,38*12,31))),"",INDIRECT("R9.Web!D"&amp;SUM(18,38*12,31))))</f>
        <v>N/D</v>
      </c>
      <c r="AW50" s="215" t="str" cm="1">
        <f t="array" aca="1" ref="AW50" ca="1">IF($B50="","",IF(ISBLANK(INDIRECT("R9.Web!D"&amp;SUM(18,38*13,31))),"",INDIRECT("R9.Web!D"&amp;SUM(18,38*13,31))))</f>
        <v>N/T</v>
      </c>
      <c r="AX50" s="215" t="str" cm="1">
        <f t="array" aca="1" ref="AX50" ca="1">IF($B50="","",IF(ISBLANK(INDIRECT("R9.Web!D"&amp;SUM(18,38*14,31))),"",INDIRECT("R9.Web!D"&amp;SUM(18,38*14,31))))</f>
        <v>N/T</v>
      </c>
      <c r="AY50" s="215" t="str" cm="1">
        <f t="array" aca="1" ref="AY50" ca="1">IF($B50="","",IF(ISBLANK(INDIRECT("R9.Web!D"&amp;SUM(18,38*15,31))),"",INDIRECT("R9.Web!D"&amp;SUM(18,38*15,31))))</f>
        <v>N/D</v>
      </c>
      <c r="AZ50" s="215" t="str" cm="1">
        <f t="array" aca="1" ref="AZ50" ca="1">IF($B50="","",IF(ISBLANK(INDIRECT("R9.Web!D"&amp;SUM(18,38*16,31))),"",INDIRECT("R9.Web!D"&amp;SUM(18,38*16,31))))</f>
        <v>N/T</v>
      </c>
      <c r="BA50" s="215" t="str" cm="1">
        <f t="array" aca="1" ref="BA50" ca="1">IF($B50="","",IF(ISBLANK(INDIRECT("R9.Web!D"&amp;SUM(18,38*17,31))),"",INDIRECT("R9.Web!D"&amp;SUM(18,38*17,31))))</f>
        <v>N/D</v>
      </c>
      <c r="BB50" s="215" t="str" cm="1">
        <f t="array" aca="1" ref="BB50" ca="1">IF($B50="","",IF(ISBLANK(INDIRECT("R9.Web!D"&amp;SUM(18,38*18,31))),"",INDIRECT("R9.Web!D"&amp;SUM(18,38*18,31))))</f>
        <v>N/T</v>
      </c>
      <c r="BC50" s="215" t="str" cm="1">
        <f t="array" aca="1" ref="BC50" ca="1">IF($B50="","",IF(ISBLANK(INDIRECT("R9.Web!D"&amp;SUM(18,38*19,31))),"",INDIRECT("R9.Web!D"&amp;SUM(18,38*19,31))))</f>
        <v>N/D</v>
      </c>
      <c r="BD50" s="215" t="str" cm="1">
        <f t="array" aca="1" ref="BD50" ca="1">IF($B50="","",IF(ISBLANK(INDIRECT("R9.Web!D"&amp;SUM(18,38*20,31))),"",INDIRECT("R9.Web!D"&amp;SUM(18,38*20,31))))</f>
        <v>N/T</v>
      </c>
      <c r="BE50" s="215" t="str" cm="1">
        <f t="array" aca="1" ref="BE50" ca="1">IF($B50="","",IF(ISBLANK(INDIRECT("R9.Web!D"&amp;SUM(18,38*21,31))),"",INDIRECT("R9.Web!D"&amp;SUM(18,38*21,31))))</f>
        <v>N/T</v>
      </c>
      <c r="BF50" s="215" t="str" cm="1">
        <f t="array" aca="1" ref="BF50" ca="1">IF($B50="","",IF(ISBLANK(INDIRECT("R9.Web!D"&amp;SUM(18,38*22,31))),"",INDIRECT("R9.Web!D"&amp;SUM(18,38*22,31))))</f>
        <v>N/D</v>
      </c>
      <c r="BG50" s="215" t="str" cm="1">
        <f t="array" aca="1" ref="BG50" ca="1">IF($B50="","",IF(ISBLANK(INDIRECT("R9.Web!D"&amp;SUM(18,38*23,31))),"",INDIRECT("R9.Web!D"&amp;SUM(18,38*23,31))))</f>
        <v>N/D</v>
      </c>
      <c r="BH50" s="215" t="str" cm="1">
        <f t="array" aca="1" ref="BH50" ca="1">IF($B50="","",IF(ISBLANK(INDIRECT("R9.Web!D"&amp;SUM(18,38*24,31))),"",INDIRECT("R9.Web!D"&amp;SUM(18,38*24,31))))</f>
        <v>N/T</v>
      </c>
      <c r="BI50" s="215" t="str" cm="1">
        <f t="array" aca="1" ref="BI50" ca="1">IF($B50="","",IF(ISBLANK(INDIRECT("R9.Web!D"&amp;SUM(18,38*25,31))),"",INDIRECT("R9.Web!D"&amp;SUM(18,38*25,31))))</f>
        <v>N/D</v>
      </c>
      <c r="BJ50" s="215" t="str" cm="1">
        <f t="array" aca="1" ref="BJ50" ca="1">IF($B50="","",IF(ISBLANK(INDIRECT("R9.Web!D"&amp;SUM(18,38*26,31))),"",INDIRECT("R9.Web!D"&amp;SUM(18,38*26,31))))</f>
        <v>N/D</v>
      </c>
      <c r="BK50" s="215" t="str" cm="1">
        <f t="array" aca="1" ref="BK50" ca="1">IF($B50="","",IF(ISBLANK(INDIRECT("R9.Web!D"&amp;SUM(18,38*27,31))),"",INDIRECT("R9.Web!D"&amp;SUM(18,38*27,31))))</f>
        <v>N/D</v>
      </c>
      <c r="BL50" s="215" t="str" cm="1">
        <f t="array" aca="1" ref="BL50" ca="1">IF($B50="","",IF(ISBLANK(INDIRECT("R9.Web!D"&amp;SUM(18,38*28,31))),"",INDIRECT("R9.Web!D"&amp;SUM(18,38*28,31))))</f>
        <v>N/D</v>
      </c>
      <c r="BM50" s="215" t="str" cm="1">
        <f t="array" aca="1" ref="BM50" ca="1">IF($B50="","",IF(ISBLANK(INDIRECT("R9.Web!D"&amp;SUM(18,38*29,31))),"",INDIRECT("R9.Web!D"&amp;SUM(18,38*29,31))))</f>
        <v>N/D</v>
      </c>
      <c r="BN50" s="215" t="str" cm="1">
        <f t="array" aca="1" ref="BN50" ca="1">IF($B50="","",IF(ISBLANK(INDIRECT("R9.Web!D"&amp;SUM(18,38*30,31))),"",INDIRECT("R9.Web!D"&amp;SUM(18,38*30,31))))</f>
        <v>N/T</v>
      </c>
      <c r="BO50" s="215" t="str" cm="1">
        <f t="array" aca="1" ref="BO50" ca="1">IF($B50="","",IF(ISBLANK(INDIRECT("R9.Web!D"&amp;SUM(18,38*31,31))),"",INDIRECT("R9.Web!D"&amp;SUM(18,38*31,31))))</f>
        <v>N/D</v>
      </c>
      <c r="BP50" s="215" t="str" cm="1">
        <f t="array" aca="1" ref="BP50" ca="1">IF($B50="","",IF(ISBLANK(INDIRECT("R9.Web!D"&amp;SUM(18,38*32,31))),"",INDIRECT("R9.Web!D"&amp;SUM(18,38*32,31))))</f>
        <v>N/T</v>
      </c>
      <c r="BQ50" s="215" t="str" cm="1">
        <f t="array" aca="1" ref="BQ50" ca="1">IF($B50="","",IF(ISBLANK(INDIRECT("R9.Web!D"&amp;SUM(18,38*33,31))),"",INDIRECT("R9.Web!D"&amp;SUM(18,38*33,31))))</f>
        <v>N/T</v>
      </c>
      <c r="BR50" s="215" t="str" cm="1">
        <f t="array" aca="1" ref="BR50" ca="1">IF($B50="","",IF(ISBLANK(INDIRECT("R9.Web!D"&amp;SUM(18,38*34,31))),"",INDIRECT("R9.Web!D"&amp;SUM(18,38*34,31))))</f>
        <v>N/D</v>
      </c>
      <c r="BS50" s="215" t="str" cm="1">
        <f t="array" aca="1" ref="BS50" ca="1">IF($B50="","",IF(ISBLANK(INDIRECT("R9.Web!D"&amp;SUM(18,38*35,31))),"",INDIRECT("R9.Web!D"&amp;SUM(18,38*35,31))))</f>
        <v>N/T</v>
      </c>
      <c r="BT50" s="215" t="str" cm="1">
        <f t="array" aca="1" ref="BT50" ca="1">IF($B50="","",IF(ISBLANK(INDIRECT("R9.Web!D"&amp;SUM(18,38*36,31))),"",INDIRECT("R9.Web!D"&amp;SUM(18,38*36,31))))</f>
        <v>N/D</v>
      </c>
      <c r="BU50" s="215" t="str" cm="1">
        <f t="array" aca="1" ref="BU50" ca="1">IF($B50="","",IF(ISBLANK(INDIRECT("R9.Web!D"&amp;SUM(18,38*37,31))),"",INDIRECT("R9.Web!D"&amp;SUM(18,38*37,31))))</f>
        <v>N/D</v>
      </c>
      <c r="BV50" s="215" t="str" cm="1">
        <f t="array" aca="1" ref="BV50" ca="1">IF($B50="","",IF(ISBLANK(INDIRECT("R9.Web!D"&amp;SUM(18,38*38,31))),"",INDIRECT("R9.Web!D"&amp;SUM(18,38*38,31))))</f>
        <v>N/D</v>
      </c>
      <c r="BW50" s="215" t="str" cm="1">
        <f t="array" aca="1" ref="BW50" ca="1">IF($B50="","",IF(ISBLANK(INDIRECT("R9.Web!D"&amp;SUM(18,38*39,31))),"",INDIRECT("R9.Web!D"&amp;SUM(18,38*39,31))))</f>
        <v>N/D</v>
      </c>
      <c r="BX50" s="215" t="str" cm="1">
        <f t="array" aca="1" ref="BX50" ca="1">IF($B50="","",IF(ISBLANK(INDIRECT("R9.Web!D"&amp;SUM(18,38*40,31))),"",INDIRECT("R9.Web!D"&amp;SUM(18,38*40,31))))</f>
        <v>N/D</v>
      </c>
      <c r="BY50" s="215" t="str" cm="1">
        <f t="array" aca="1" ref="BY50" ca="1">IF($B50="","",IF(ISBLANK(INDIRECT("R9.Web!D"&amp;SUM(18,38*41,31))),"",INDIRECT("R9.Web!D"&amp;SUM(18,38*41,31))))</f>
        <v>N/T</v>
      </c>
      <c r="BZ50" s="215" t="str" cm="1">
        <f t="array" aca="1" ref="BZ50" ca="1">IF($B50="","",IF(ISBLANK(INDIRECT("R9.Web!D"&amp;SUM(18,38*42,31))),"",INDIRECT("R9.Web!D"&amp;SUM(18,38*42,31))))</f>
        <v>N/T</v>
      </c>
      <c r="CA50" s="215" t="str" cm="1">
        <f t="array" aca="1" ref="CA50" ca="1">IF($B50="","",IF(ISBLANK(INDIRECT("R9.Web!D"&amp;SUM(18,38*43,31))),"",INDIRECT("R9.Web!D"&amp;SUM(18,38*43,31))))</f>
        <v>N/D</v>
      </c>
      <c r="CB50" s="215" t="str" cm="1">
        <f t="array" aca="1" ref="CB50" ca="1">IF($B50="","",IF(ISBLANK(INDIRECT("R9.Web!D"&amp;SUM(18,38*44,31))),"",INDIRECT("R9.Web!D"&amp;SUM(18,38*44,31))))</f>
        <v>N/T</v>
      </c>
      <c r="CC50" s="215" t="str" cm="1">
        <f t="array" aca="1" ref="CC50" ca="1">IF($B50="","",IF(ISBLANK(INDIRECT("R9.Web!D"&amp;SUM(18,38*45,31))),"",INDIRECT("R9.Web!D"&amp;SUM(18,38*45,31))))</f>
        <v>N/T</v>
      </c>
      <c r="CD50" s="215" t="str" cm="1">
        <f t="array" aca="1" ref="CD50" ca="1">IF($B50="","",IF(ISBLANK(INDIRECT("R9.Web!D"&amp;SUM(18,38*46,31))),"",INDIRECT("R9.Web!D"&amp;SUM(18,38*46,31))))</f>
        <v>N/T</v>
      </c>
      <c r="CE50" s="215" t="str" cm="1">
        <f t="array" aca="1" ref="CE50" ca="1">IF($B50="","",IF(ISBLANK(INDIRECT("R9.Web!D"&amp;SUM(18,38*47,31))),"",INDIRECT("R9.Web!D"&amp;SUM(18,38*47,31))))</f>
        <v>N/D</v>
      </c>
      <c r="CF50" s="215" t="str" cm="1">
        <f t="array" aca="1" ref="CF50" ca="1">IF($B50="","",IF(ISBLANK(INDIRECT("R9.Web!D"&amp;SUM(18,38*48,31))),"",INDIRECT("R9.Web!D"&amp;SUM(18,38*48,31))))</f>
        <v>N/T</v>
      </c>
      <c r="CG50" s="215" t="str" cm="1">
        <f t="array" aca="1" ref="CG50" ca="1">IF($B50="","",IF(ISBLANK(INDIRECT("R9.Web!D"&amp;SUM(18,38*49,31))),"",INDIRECT("R9.Web!D"&amp;SUM(18,38*49,31))))</f>
        <v>N/T</v>
      </c>
      <c r="CH50" s="215" t="str" cm="1">
        <f t="array" aca="1" ref="CH50" ca="1">IF($B50="","",IF(ISBLANK(INDIRECT("R11.Software!D"&amp;SUM(18,38*0,31))),"",INDIRECT("R11.Software!D"&amp;SUM(18,38*0,31))))</f>
        <v>N/T</v>
      </c>
      <c r="CI50" s="215" t="str" cm="1">
        <f t="array" aca="1" ref="CI50" ca="1">IF($B50="","",IF(ISBLANK(INDIRECT("R11.Software!D"&amp;SUM(18,38*1,31))),"",INDIRECT("R11.Software!D"&amp;SUM(18,38*1,31))))</f>
        <v>N/T</v>
      </c>
      <c r="CJ50" s="215" t="str" cm="1">
        <f t="array" aca="1" ref="CJ50" ca="1">IF($B50="","",IF(ISBLANK(INDIRECT("R11.Software!D"&amp;SUM(18,38*2,31))),"",INDIRECT("R11.Software!D"&amp;SUM(18,38*2,31))))</f>
        <v>N/T</v>
      </c>
      <c r="CK50" s="215" t="str" cm="1">
        <f t="array" aca="1" ref="CK50" ca="1">IF($B50="","",IF(ISBLANK(INDIRECT("R11.Software!D"&amp;SUM(18,38*3,31))),"",INDIRECT("R11.Software!D"&amp;SUM(18,38*3,31))))</f>
        <v>N/T</v>
      </c>
      <c r="CL50" s="215" t="str" cm="1">
        <f t="array" aca="1" ref="CL50" ca="1">IF($B50="","",IF(ISBLANK(INDIRECT("R11.Software!D"&amp;SUM(18,38*4,31))),"",INDIRECT("R11.Software!D"&amp;SUM(18,38*4,31))))</f>
        <v>N/T</v>
      </c>
      <c r="CM50" s="215" t="str" cm="1">
        <f t="array" aca="1" ref="CM50" ca="1">IF($B50="","",IF(ISBLANK(INDIRECT("R11.Software!D"&amp;SUM(18,38*5,31))),"",INDIRECT("R11.Software!D"&amp;SUM(18,38*5,31))))</f>
        <v>N/T</v>
      </c>
      <c r="CN50" s="215" t="str" cm="1">
        <f t="array" aca="1" ref="CN50" ca="1">IF($B50="","",IF(ISBLANK(INDIRECT("R12.ServiciosApoyo!D"&amp;SUM(18,38*0,31))),"",INDIRECT("R12.ServiciosApoyo!D"&amp;SUM(18,38*0,31))))</f>
        <v>N/T</v>
      </c>
      <c r="CO50" s="215" t="str" cm="1">
        <f t="array" aca="1" ref="CO50" ca="1">IF($B50="","",IF(ISBLANK(INDIRECT("R12.ServiciosApoyo!D"&amp;SUM(18,38*1,31))),"",INDIRECT("R12.ServiciosApoyo!D"&amp;SUM(18,38*1,31))))</f>
        <v>N/T</v>
      </c>
      <c r="CP50" s="215" t="str" cm="1">
        <f t="array" aca="1" ref="CP50" ca="1">IF($B50="","",IF(ISBLANK(INDIRECT("R12.ServiciosApoyo!D"&amp;SUM(18,38*2,31))),"",INDIRECT("R12.ServiciosApoyo!D"&amp;SUM(18,38*2,31))))</f>
        <v>N/T</v>
      </c>
      <c r="CQ50" s="215" t="str" cm="1">
        <f t="array" aca="1" ref="CQ50" ca="1">IF($B50="","",IF(ISBLANK(INDIRECT("R12.ServiciosApoyo!D"&amp;SUM(18,38*3,31))),"",INDIRECT("R12.ServiciosApoyo!D"&amp;SUM(18,38*3,31))))</f>
        <v>N/T</v>
      </c>
      <c r="CR50" s="215" t="str" cm="1">
        <f t="array" aca="1" ref="CR50" ca="1">IF($B50="","",IF(ISBLANK(INDIRECT("R12.ServiciosApoyo!D"&amp;SUM(18,38*4,31))),"",INDIRECT("R12.ServiciosApoyo!D"&amp;SUM(18,38*4,31))))</f>
        <v>N/T</v>
      </c>
      <c r="CU50" s="100"/>
      <c r="CV50" s="29"/>
      <c r="CW50" s="29"/>
      <c r="CX50" s="29"/>
    </row>
    <row r="51" spans="2:102" ht="20.25">
      <c r="B51" s="181" t="n" cm="1">
        <f t="array" ref="B51">IFERROR(INDEX('03.Muestra'!$B$8:$B$42,SMALL(IF("Página Web"='03.Muestra'!$D$8:$D$42,ROW('03.Muestra'!$B$8:$B$42)-MIN(ROW('03.Muestra'!$D$8:$D$42))+1,""),ROW()-19)),"")</f>
        <v>1.0</v>
      </c>
      <c r="C51" s="97" t="str" cm="1">
        <f t="array" ref="C51">IFERROR(INDEX('03.Muestra'!$C$8:$C$42,SMALL(IF("Página Web"='03.Muestra'!$D$8:$D$42,ROW('03.Muestra'!$C$8:$C$42)-MIN(ROW('03.Muestra'!$D$8:$D$42))+1,""),ROW()-19)),"")</f>
        <v>Home - PortCastelló</v>
      </c>
      <c r="D51" s="98" t="str" cm="1">
        <f t="array" ref="D51">IFERROR(INDEX('03.Muestra'!$F$8:$F$42,SMALL(IF("Página Web"='03.Muestra'!$D$8:$D$42,ROW('03.Muestra'!$F$8:$F$42)-MIN(ROW('03.Muestra'!$D$8:$D$42))+1,""),ROW()-19)),"")</f>
        <v>https://www.portcastello.com/</v>
      </c>
      <c r="E51" s="215" t="str" cm="1">
        <f t="array" aca="1" ref="E51" ca="1">IF($B51="","",IF(ISBLANK(INDIRECT("R5.Genéricos!D"&amp;SUM(18,38*0,32))),"",INDIRECT("R5.Genéricos!D"&amp;SUM(18,38*0,32))))</f>
        <v>N/T</v>
      </c>
      <c r="F51" s="215" t="str" cm="1">
        <f t="array" aca="1" ref="F51" ca="1">IF($B51="","",IF(ISBLANK(INDIRECT("R5.Genéricos!D"&amp;SUM(18,38*1,32))),"",INDIRECT("R5.Genéricos!D"&amp;SUM(18,38*1,32))))</f>
        <v>N/T</v>
      </c>
      <c r="G51" s="215" t="str" cm="1">
        <f t="array" aca="1" ref="G51" ca="1">IF($B51="","",IF(ISBLANK(INDIRECT("R5.Genéricos!D"&amp;SUM(18,38*2,32))),"",INDIRECT("R5.Genéricos!D"&amp;SUM(18,38*2,32))))</f>
        <v>N/T</v>
      </c>
      <c r="H51" s="215" t="str" cm="1">
        <f t="array" aca="1" ref="H51" ca="1">IF($B51="","",IF(ISBLANK(INDIRECT("R6.Voz!D"&amp;SUM(18,38*0,32))),"",INDIRECT("R6.Voz!D"&amp;SUM(18,38*0,32))))</f>
        <v>N/T</v>
      </c>
      <c r="I51" s="215" t="str" cm="1">
        <f t="array" aca="1" ref="I51" ca="1">IF($B51="","",IF(ISBLANK(INDIRECT("R6.Voz!D"&amp;SUM(18,38*1,32))),"",INDIRECT("R6.Voz!D"&amp;SUM(18,38*1,32))))</f>
        <v>N/T</v>
      </c>
      <c r="J51" s="215" t="str" cm="1">
        <f t="array" aca="1" ref="J51" ca="1">IF($B51="","",IF(ISBLANK(INDIRECT("R6.Voz!D"&amp;SUM(18,38*2,32))),"",INDIRECT("R6.Voz!D"&amp;SUM(18,38*2,32))))</f>
        <v>N/T</v>
      </c>
      <c r="K51" s="215" t="str" cm="1">
        <f t="array" aca="1" ref="K51" ca="1">IF($B51="","",IF(ISBLANK(INDIRECT("R6.Voz!D"&amp;SUM(18,38*3,32))),"",INDIRECT("R6.Voz!D"&amp;SUM(18,38*3,32))))</f>
        <v>N/T</v>
      </c>
      <c r="L51" s="215" t="str" cm="1">
        <f t="array" aca="1" ref="L51" ca="1">IF($B51="","",IF(ISBLANK(INDIRECT("R6.Voz!D"&amp;SUM(18,38*4,32))),"",INDIRECT("R6.Voz!D"&amp;SUM(18,38*4,32))))</f>
        <v>N/T</v>
      </c>
      <c r="M51" s="215" t="str" cm="1">
        <f t="array" aca="1" ref="M51" ca="1">IF($B51="","",IF(ISBLANK(INDIRECT("R6.Voz!D"&amp;SUM(18,38*5,32))),"",INDIRECT("R6.Voz!D"&amp;SUM(18,38*5,32))))</f>
        <v>N/T</v>
      </c>
      <c r="N51" s="215" t="str" cm="1">
        <f t="array" aca="1" ref="N51" ca="1">IF($B51="","",IF(ISBLANK(INDIRECT("R6.Voz!D"&amp;SUM(18,38*6,32))),"",INDIRECT("R6.Voz!D"&amp;SUM(18,38*6,32))))</f>
        <v>N/T</v>
      </c>
      <c r="O51" s="215" t="str" cm="1">
        <f t="array" aca="1" ref="O51" ca="1">IF($B51="","",IF(ISBLANK(INDIRECT("R6.Voz!D"&amp;SUM(18,38*7,32))),"",INDIRECT("R6.Voz!D"&amp;SUM(18,38*7,32))))</f>
        <v>N/T</v>
      </c>
      <c r="P51" s="215" t="str" cm="1">
        <f t="array" aca="1" ref="P51" ca="1">IF($B51="","",IF(ISBLANK(INDIRECT("R6.Voz!D"&amp;SUM(18,38*8,32))),"",INDIRECT("R6.Voz!D"&amp;SUM(18,38*8,32))))</f>
        <v>N/T</v>
      </c>
      <c r="Q51" s="215" t="str" cm="1">
        <f t="array" aca="1" ref="Q51" ca="1">IF($B51="","",IF(ISBLANK(INDIRECT("R6.Voz!D"&amp;SUM(18,38*9,32))),"",INDIRECT("R6.Voz!D"&amp;SUM(18,38*9,32))))</f>
        <v>N/T</v>
      </c>
      <c r="R51" s="215" t="str" cm="1">
        <f t="array" aca="1" ref="R51" ca="1">IF($B51="","",IF(ISBLANK(INDIRECT("R6.Voz!D"&amp;SUM(18,38*10,32))),"",INDIRECT("R6.Voz!D"&amp;SUM(18,38*10,32))))</f>
        <v>N/T</v>
      </c>
      <c r="S51" s="215" t="str" cm="1">
        <f t="array" aca="1" ref="S51" ca="1">IF($B51="","",IF(ISBLANK(INDIRECT("R6.Voz!D"&amp;SUM(18,38*11,32))),"",INDIRECT("R6.Voz!D"&amp;SUM(18,38*11,32))))</f>
        <v>N/T</v>
      </c>
      <c r="T51" s="215" t="str" cm="1">
        <f t="array" aca="1" ref="T51" ca="1">IF($B51="","",IF(ISBLANK(INDIRECT("R6.Voz!D"&amp;SUM(18,38*12,32))),"",INDIRECT("R6.Voz!D"&amp;SUM(18,38*12,32))))</f>
        <v>N/T</v>
      </c>
      <c r="U51" s="215" t="str" cm="1">
        <f t="array" aca="1" ref="U51" ca="1">IF($B51="","",IF(ISBLANK(INDIRECT("R6.Voz!D"&amp;SUM(18,38*13,32))),"",INDIRECT("R6.Voz!D"&amp;SUM(18,38*13,32))))</f>
        <v>N/T</v>
      </c>
      <c r="V51" s="215" t="str" cm="1">
        <f t="array" aca="1" ref="V51" ca="1">IF($B51="","",IF(ISBLANK(INDIRECT("R6.Voz!D"&amp;SUM(18,38*14,32))),"",INDIRECT("R6.Voz!D"&amp;SUM(18,38*14,32))))</f>
        <v>N/T</v>
      </c>
      <c r="W51" s="215" t="str" cm="1">
        <f t="array" aca="1" ref="W51" ca="1">IF($B51="","",IF(ISBLANK(INDIRECT("R6.Voz!D"&amp;SUM(18,38*15,32))),"",INDIRECT("R6.Voz!D"&amp;SUM(18,38*15,32))))</f>
        <v>N/T</v>
      </c>
      <c r="X51" s="215" t="str" cm="1">
        <f t="array" aca="1" ref="X51" ca="1">IF($B51="","",IF(ISBLANK(INDIRECT("R6.Voz!D"&amp;SUM(18,38*16,32))),"",INDIRECT("R6.Voz!D"&amp;SUM(18,38*16,32))))</f>
        <v>N/T</v>
      </c>
      <c r="Y51" s="215" t="str" cm="1">
        <f t="array" aca="1" ref="Y51" ca="1">IF($B51="","",IF(ISBLANK(INDIRECT("R6.Voz!D"&amp;SUM(18,38*17,32))),"",INDIRECT("R6.Voz!D"&amp;SUM(18,38*17,32))))</f>
        <v>N/T</v>
      </c>
      <c r="Z51" s="215" t="str" cm="1">
        <f t="array" aca="1" ref="Z51" ca="1">IF($B51="","",IF(ISBLANK(INDIRECT("R6.Voz!D"&amp;SUM(18,38*18,32))),"",INDIRECT("R6.Voz!D"&amp;SUM(18,38*18,32))))</f>
        <v>N/T</v>
      </c>
      <c r="AA51" s="215" t="str" cm="1">
        <f t="array" aca="1" ref="AA51" ca="1">IF($B51="","",IF(ISBLANK(INDIRECT("R7.Video!D"&amp;SUM(18,38*0,32))),"",INDIRECT("R7.Video!D"&amp;SUM(18,38*0,32))))</f>
        <v>N/T</v>
      </c>
      <c r="AB51" s="215" t="str" cm="1">
        <f t="array" aca="1" ref="AB51" ca="1">IF($B51="","",IF(ISBLANK(INDIRECT("R7.Video!D"&amp;SUM(18,38*1,32))),"",INDIRECT("R7.Video!D"&amp;SUM(18,38*1,32))))</f>
        <v>N/T</v>
      </c>
      <c r="AC51" s="215" t="str" cm="1">
        <f t="array" aca="1" ref="AC51" ca="1">IF($B51="","",IF(ISBLANK(INDIRECT("R7.Video!D"&amp;SUM(18,38*2,32))),"",INDIRECT("R7.Video!D"&amp;SUM(18,38*2,32))))</f>
        <v>N/T</v>
      </c>
      <c r="AD51" s="215" t="str" cm="1">
        <f t="array" aca="1" ref="AD51" ca="1">IF($B51="","",IF(ISBLANK(INDIRECT("R7.Video!D"&amp;SUM(18,38*3,32))),"",INDIRECT("R7.Video!D"&amp;SUM(18,38*3,32))))</f>
        <v>N/T</v>
      </c>
      <c r="AE51" s="215" t="str" cm="1">
        <f t="array" aca="1" ref="AE51" ca="1">IF($B51="","",IF(ISBLANK(INDIRECT("R7.Video!D"&amp;SUM(18,38*4,32))),"",INDIRECT("R7.Video!D"&amp;SUM(18,38*4,32))))</f>
        <v>N/T</v>
      </c>
      <c r="AF51" s="215" t="str" cm="1">
        <f t="array" aca="1" ref="AF51" ca="1">IF($B51="","",IF(ISBLANK(INDIRECT("R7.Video!D"&amp;SUM(18,38*5,32))),"",INDIRECT("R7.Video!D"&amp;SUM(18,38*5,32))))</f>
        <v>N/T</v>
      </c>
      <c r="AG51" s="215" t="str" cm="1">
        <f t="array" aca="1" ref="AG51" ca="1">IF($B51="","",IF(ISBLANK(INDIRECT("R7.Video!D"&amp;SUM(18,38*6,32))),"",INDIRECT("R7.Video!D"&amp;SUM(18,38*6,32))))</f>
        <v>N/T</v>
      </c>
      <c r="AH51" s="215" t="str" cm="1">
        <f t="array" aca="1" ref="AH51" ca="1">IF($B51="","",IF(ISBLANK(INDIRECT("R7.Video!D"&amp;SUM(18,38*7,32))),"",INDIRECT("R7.Video!D"&amp;SUM(18,38*7,32))))</f>
        <v>N/T</v>
      </c>
      <c r="AI51" s="215" t="str" cm="1">
        <f t="array" aca="1" ref="AI51" ca="1">IF($B51="","",IF(ISBLANK(INDIRECT("R7.Video!D"&amp;SUM(18,38*8,32))),"",INDIRECT("R7.Video!D"&amp;SUM(18,38*8,32))))</f>
        <v>N/T</v>
      </c>
      <c r="AJ51" s="215" t="str" cm="1">
        <f t="array" aca="1" ref="AJ51" ca="1">IF($B51="","",IF(ISBLANK(INDIRECT("R9.Web!D"&amp;SUM(18,38*0,32))),"",INDIRECT("R9.Web!D"&amp;SUM(18,38*0,32))))</f>
        <v>N/D</v>
      </c>
      <c r="AK51" s="215" t="str" cm="1">
        <f t="array" aca="1" ref="AK51" ca="1">IF($B51="","",IF(ISBLANK(INDIRECT("R9.Web!D"&amp;SUM(18,38*1,32))),"",INDIRECT("R9.Web!D"&amp;SUM(18,38*1,32))))</f>
        <v>N/T</v>
      </c>
      <c r="AL51" s="215" t="str" cm="1">
        <f t="array" aca="1" ref="AL51" ca="1">IF($B51="","",IF(ISBLANK(INDIRECT("R9.Web!D"&amp;SUM(18,38*2,32))),"",INDIRECT("R9.Web!D"&amp;SUM(18,38*2,32))))</f>
        <v>N/T</v>
      </c>
      <c r="AM51" s="215" t="str" cm="1">
        <f t="array" aca="1" ref="AM51" ca="1">IF($B51="","",IF(ISBLANK(INDIRECT("R9.Web!D"&amp;SUM(18,38*3,32))),"",INDIRECT("R9.Web!D"&amp;SUM(18,38*3,32))))</f>
        <v>N/T</v>
      </c>
      <c r="AN51" s="215" t="str" cm="1">
        <f t="array" aca="1" ref="AN51" ca="1">IF($B51="","",IF(ISBLANK(INDIRECT("R9.Web!D"&amp;SUM(18,38*4,32))),"",INDIRECT("R9.Web!D"&amp;SUM(18,38*4,32))))</f>
        <v>N/T</v>
      </c>
      <c r="AO51" s="215" t="str" cm="1">
        <f t="array" aca="1" ref="AO51" ca="1">IF($B51="","",IF(ISBLANK(INDIRECT("R9.Web!D"&amp;SUM(18,38*5,32))),"",INDIRECT("R9.Web!D"&amp;SUM(18,38*5,32))))</f>
        <v>N/D</v>
      </c>
      <c r="AP51" s="215" t="str" cm="1">
        <f t="array" aca="1" ref="AP51" ca="1">IF($B51="","",IF(ISBLANK(INDIRECT("R9.Web!D"&amp;SUM(18,38*6,32))),"",INDIRECT("R9.Web!D"&amp;SUM(18,38*6,32))))</f>
        <v>N/T</v>
      </c>
      <c r="AQ51" s="215" t="str" cm="1">
        <f t="array" aca="1" ref="AQ51" ca="1">IF($B51="","",IF(ISBLANK(INDIRECT("R9.Web!D"&amp;SUM(18,38*7,32))),"",INDIRECT("R9.Web!D"&amp;SUM(18,38*7,32))))</f>
        <v>N/T</v>
      </c>
      <c r="AR51" s="215" t="str" cm="1">
        <f t="array" aca="1" ref="AR51" ca="1">IF($B51="","",IF(ISBLANK(INDIRECT("R9.Web!D"&amp;SUM(18,38*8,32))),"",INDIRECT("R9.Web!D"&amp;SUM(18,38*8,32))))</f>
        <v>N/D</v>
      </c>
      <c r="AS51" s="215" t="str" cm="1">
        <f t="array" aca="1" ref="AS51" ca="1">IF($B51="","",IF(ISBLANK(INDIRECT("R9.Web!D"&amp;SUM(18,38*9,32))),"",INDIRECT("R9.Web!D"&amp;SUM(18,38*9,32))))</f>
        <v>N/D</v>
      </c>
      <c r="AT51" s="215" t="str" cm="1">
        <f t="array" aca="1" ref="AT51" ca="1">IF($B51="","",IF(ISBLANK(INDIRECT("R9.Web!D"&amp;SUM(18,38*10,32))),"",INDIRECT("R9.Web!D"&amp;SUM(18,38*10,32))))</f>
        <v>N/T</v>
      </c>
      <c r="AU51" s="215" t="str" cm="1">
        <f t="array" aca="1" ref="AU51" ca="1">IF($B51="","",IF(ISBLANK(INDIRECT("R9.Web!D"&amp;SUM(18,38*11,32))),"",INDIRECT("R9.Web!D"&amp;SUM(18,38*11,32))))</f>
        <v>N/T</v>
      </c>
      <c r="AV51" s="215" t="str" cm="1">
        <f t="array" aca="1" ref="AV51" ca="1">IF($B51="","",IF(ISBLANK(INDIRECT("R9.Web!D"&amp;SUM(18,38*12,32))),"",INDIRECT("R9.Web!D"&amp;SUM(18,38*12,32))))</f>
        <v>N/D</v>
      </c>
      <c r="AW51" s="215" t="str" cm="1">
        <f t="array" aca="1" ref="AW51" ca="1">IF($B51="","",IF(ISBLANK(INDIRECT("R9.Web!D"&amp;SUM(18,38*13,32))),"",INDIRECT("R9.Web!D"&amp;SUM(18,38*13,32))))</f>
        <v>N/T</v>
      </c>
      <c r="AX51" s="215" t="str" cm="1">
        <f t="array" aca="1" ref="AX51" ca="1">IF($B51="","",IF(ISBLANK(INDIRECT("R9.Web!D"&amp;SUM(18,38*14,32))),"",INDIRECT("R9.Web!D"&amp;SUM(18,38*14,32))))</f>
        <v>N/T</v>
      </c>
      <c r="AY51" s="215" t="str" cm="1">
        <f t="array" aca="1" ref="AY51" ca="1">IF($B51="","",IF(ISBLANK(INDIRECT("R9.Web!D"&amp;SUM(18,38*15,32))),"",INDIRECT("R9.Web!D"&amp;SUM(18,38*15,32))))</f>
        <v>N/D</v>
      </c>
      <c r="AZ51" s="215" t="str" cm="1">
        <f t="array" aca="1" ref="AZ51" ca="1">IF($B51="","",IF(ISBLANK(INDIRECT("R9.Web!D"&amp;SUM(18,38*16,32))),"",INDIRECT("R9.Web!D"&amp;SUM(18,38*16,32))))</f>
        <v>N/T</v>
      </c>
      <c r="BA51" s="215" t="str" cm="1">
        <f t="array" aca="1" ref="BA51" ca="1">IF($B51="","",IF(ISBLANK(INDIRECT("R9.Web!D"&amp;SUM(18,38*17,32))),"",INDIRECT("R9.Web!D"&amp;SUM(18,38*17,32))))</f>
        <v>N/D</v>
      </c>
      <c r="BB51" s="215" t="str" cm="1">
        <f t="array" aca="1" ref="BB51" ca="1">IF($B51="","",IF(ISBLANK(INDIRECT("R9.Web!D"&amp;SUM(18,38*18,32))),"",INDIRECT("R9.Web!D"&amp;SUM(18,38*18,32))))</f>
        <v>N/T</v>
      </c>
      <c r="BC51" s="215" t="str" cm="1">
        <f t="array" aca="1" ref="BC51" ca="1">IF($B51="","",IF(ISBLANK(INDIRECT("R9.Web!D"&amp;SUM(18,38*19,32))),"",INDIRECT("R9.Web!D"&amp;SUM(18,38*19,32))))</f>
        <v>N/D</v>
      </c>
      <c r="BD51" s="215" t="str" cm="1">
        <f t="array" aca="1" ref="BD51" ca="1">IF($B51="","",IF(ISBLANK(INDIRECT("R9.Web!D"&amp;SUM(18,38*20,32))),"",INDIRECT("R9.Web!D"&amp;SUM(18,38*20,32))))</f>
        <v>N/T</v>
      </c>
      <c r="BE51" s="215" t="str" cm="1">
        <f t="array" aca="1" ref="BE51" ca="1">IF($B51="","",IF(ISBLANK(INDIRECT("R9.Web!D"&amp;SUM(18,38*21,32))),"",INDIRECT("R9.Web!D"&amp;SUM(18,38*21,32))))</f>
        <v>N/T</v>
      </c>
      <c r="BF51" s="215" t="str" cm="1">
        <f t="array" aca="1" ref="BF51" ca="1">IF($B51="","",IF(ISBLANK(INDIRECT("R9.Web!D"&amp;SUM(18,38*22,32))),"",INDIRECT("R9.Web!D"&amp;SUM(18,38*22,32))))</f>
        <v>N/D</v>
      </c>
      <c r="BG51" s="215" t="str" cm="1">
        <f t="array" aca="1" ref="BG51" ca="1">IF($B51="","",IF(ISBLANK(INDIRECT("R9.Web!D"&amp;SUM(18,38*23,32))),"",INDIRECT("R9.Web!D"&amp;SUM(18,38*23,32))))</f>
        <v>N/D</v>
      </c>
      <c r="BH51" s="215" t="str" cm="1">
        <f t="array" aca="1" ref="BH51" ca="1">IF($B51="","",IF(ISBLANK(INDIRECT("R9.Web!D"&amp;SUM(18,38*24,32))),"",INDIRECT("R9.Web!D"&amp;SUM(18,38*24,32))))</f>
        <v>N/T</v>
      </c>
      <c r="BI51" s="215" t="str" cm="1">
        <f t="array" aca="1" ref="BI51" ca="1">IF($B51="","",IF(ISBLANK(INDIRECT("R9.Web!D"&amp;SUM(18,38*25,32))),"",INDIRECT("R9.Web!D"&amp;SUM(18,38*25,32))))</f>
        <v>N/D</v>
      </c>
      <c r="BJ51" s="215" t="str" cm="1">
        <f t="array" aca="1" ref="BJ51" ca="1">IF($B51="","",IF(ISBLANK(INDIRECT("R9.Web!D"&amp;SUM(18,38*26,32))),"",INDIRECT("R9.Web!D"&amp;SUM(18,38*26,32))))</f>
        <v>N/D</v>
      </c>
      <c r="BK51" s="215" t="str" cm="1">
        <f t="array" aca="1" ref="BK51" ca="1">IF($B51="","",IF(ISBLANK(INDIRECT("R9.Web!D"&amp;SUM(18,38*27,32))),"",INDIRECT("R9.Web!D"&amp;SUM(18,38*27,32))))</f>
        <v>N/D</v>
      </c>
      <c r="BL51" s="215" t="str" cm="1">
        <f t="array" aca="1" ref="BL51" ca="1">IF($B51="","",IF(ISBLANK(INDIRECT("R9.Web!D"&amp;SUM(18,38*28,32))),"",INDIRECT("R9.Web!D"&amp;SUM(18,38*28,32))))</f>
        <v>N/D</v>
      </c>
      <c r="BM51" s="215" t="str" cm="1">
        <f t="array" aca="1" ref="BM51" ca="1">IF($B51="","",IF(ISBLANK(INDIRECT("R9.Web!D"&amp;SUM(18,38*29,32))),"",INDIRECT("R9.Web!D"&amp;SUM(18,38*29,32))))</f>
        <v>N/D</v>
      </c>
      <c r="BN51" s="215" t="str" cm="1">
        <f t="array" aca="1" ref="BN51" ca="1">IF($B51="","",IF(ISBLANK(INDIRECT("R9.Web!D"&amp;SUM(18,38*30,32))),"",INDIRECT("R9.Web!D"&amp;SUM(18,38*30,32))))</f>
        <v>N/T</v>
      </c>
      <c r="BO51" s="215" t="str" cm="1">
        <f t="array" aca="1" ref="BO51" ca="1">IF($B51="","",IF(ISBLANK(INDIRECT("R9.Web!D"&amp;SUM(18,38*31,32))),"",INDIRECT("R9.Web!D"&amp;SUM(18,38*31,32))))</f>
        <v>N/D</v>
      </c>
      <c r="BP51" s="215" t="str" cm="1">
        <f t="array" aca="1" ref="BP51" ca="1">IF($B51="","",IF(ISBLANK(INDIRECT("R9.Web!D"&amp;SUM(18,38*32,32))),"",INDIRECT("R9.Web!D"&amp;SUM(18,38*32,32))))</f>
        <v>N/T</v>
      </c>
      <c r="BQ51" s="215" t="str" cm="1">
        <f t="array" aca="1" ref="BQ51" ca="1">IF($B51="","",IF(ISBLANK(INDIRECT("R9.Web!D"&amp;SUM(18,38*33,32))),"",INDIRECT("R9.Web!D"&amp;SUM(18,38*33,32))))</f>
        <v>N/T</v>
      </c>
      <c r="BR51" s="215" t="str" cm="1">
        <f t="array" aca="1" ref="BR51" ca="1">IF($B51="","",IF(ISBLANK(INDIRECT("R9.Web!D"&amp;SUM(18,38*34,32))),"",INDIRECT("R9.Web!D"&amp;SUM(18,38*34,32))))</f>
        <v>N/D</v>
      </c>
      <c r="BS51" s="215" t="str" cm="1">
        <f t="array" aca="1" ref="BS51" ca="1">IF($B51="","",IF(ISBLANK(INDIRECT("R9.Web!D"&amp;SUM(18,38*35,32))),"",INDIRECT("R9.Web!D"&amp;SUM(18,38*35,32))))</f>
        <v>N/T</v>
      </c>
      <c r="BT51" s="215" t="str" cm="1">
        <f t="array" aca="1" ref="BT51" ca="1">IF($B51="","",IF(ISBLANK(INDIRECT("R9.Web!D"&amp;SUM(18,38*36,32))),"",INDIRECT("R9.Web!D"&amp;SUM(18,38*36,32))))</f>
        <v>N/D</v>
      </c>
      <c r="BU51" s="215" t="str" cm="1">
        <f t="array" aca="1" ref="BU51" ca="1">IF($B51="","",IF(ISBLANK(INDIRECT("R9.Web!D"&amp;SUM(18,38*37,32))),"",INDIRECT("R9.Web!D"&amp;SUM(18,38*37,32))))</f>
        <v>N/D</v>
      </c>
      <c r="BV51" s="215" t="str" cm="1">
        <f t="array" aca="1" ref="BV51" ca="1">IF($B51="","",IF(ISBLANK(INDIRECT("R9.Web!D"&amp;SUM(18,38*38,32))),"",INDIRECT("R9.Web!D"&amp;SUM(18,38*38,32))))</f>
        <v>N/D</v>
      </c>
      <c r="BW51" s="215" t="str" cm="1">
        <f t="array" aca="1" ref="BW51" ca="1">IF($B51="","",IF(ISBLANK(INDIRECT("R9.Web!D"&amp;SUM(18,38*39,32))),"",INDIRECT("R9.Web!D"&amp;SUM(18,38*39,32))))</f>
        <v>N/D</v>
      </c>
      <c r="BX51" s="215" t="str" cm="1">
        <f t="array" aca="1" ref="BX51" ca="1">IF($B51="","",IF(ISBLANK(INDIRECT("R9.Web!D"&amp;SUM(18,38*40,32))),"",INDIRECT("R9.Web!D"&amp;SUM(18,38*40,32))))</f>
        <v>N/D</v>
      </c>
      <c r="BY51" s="215" t="str" cm="1">
        <f t="array" aca="1" ref="BY51" ca="1">IF($B51="","",IF(ISBLANK(INDIRECT("R9.Web!D"&amp;SUM(18,38*41,32))),"",INDIRECT("R9.Web!D"&amp;SUM(18,38*41,32))))</f>
        <v>N/T</v>
      </c>
      <c r="BZ51" s="215" t="str" cm="1">
        <f t="array" aca="1" ref="BZ51" ca="1">IF($B51="","",IF(ISBLANK(INDIRECT("R9.Web!D"&amp;SUM(18,38*42,32))),"",INDIRECT("R9.Web!D"&amp;SUM(18,38*42,32))))</f>
        <v>N/T</v>
      </c>
      <c r="CA51" s="215" t="str" cm="1">
        <f t="array" aca="1" ref="CA51" ca="1">IF($B51="","",IF(ISBLANK(INDIRECT("R9.Web!D"&amp;SUM(18,38*43,32))),"",INDIRECT("R9.Web!D"&amp;SUM(18,38*43,32))))</f>
        <v>N/D</v>
      </c>
      <c r="CB51" s="215" t="str" cm="1">
        <f t="array" aca="1" ref="CB51" ca="1">IF($B51="","",IF(ISBLANK(INDIRECT("R9.Web!D"&amp;SUM(18,38*44,32))),"",INDIRECT("R9.Web!D"&amp;SUM(18,38*44,32))))</f>
        <v>N/T</v>
      </c>
      <c r="CC51" s="215" t="str" cm="1">
        <f t="array" aca="1" ref="CC51" ca="1">IF($B51="","",IF(ISBLANK(INDIRECT("R9.Web!D"&amp;SUM(18,38*45,32))),"",INDIRECT("R9.Web!D"&amp;SUM(18,38*45,32))))</f>
        <v>N/T</v>
      </c>
      <c r="CD51" s="215" t="str" cm="1">
        <f t="array" aca="1" ref="CD51" ca="1">IF($B51="","",IF(ISBLANK(INDIRECT("R9.Web!D"&amp;SUM(18,38*46,32))),"",INDIRECT("R9.Web!D"&amp;SUM(18,38*46,32))))</f>
        <v>N/T</v>
      </c>
      <c r="CE51" s="215" t="str" cm="1">
        <f t="array" aca="1" ref="CE51" ca="1">IF($B51="","",IF(ISBLANK(INDIRECT("R9.Web!D"&amp;SUM(18,38*47,32))),"",INDIRECT("R9.Web!D"&amp;SUM(18,38*47,32))))</f>
        <v>N/D</v>
      </c>
      <c r="CF51" s="215" t="str" cm="1">
        <f t="array" aca="1" ref="CF51" ca="1">IF($B51="","",IF(ISBLANK(INDIRECT("R9.Web!D"&amp;SUM(18,38*48,32))),"",INDIRECT("R9.Web!D"&amp;SUM(18,38*48,32))))</f>
        <v>N/T</v>
      </c>
      <c r="CG51" s="215" t="str" cm="1">
        <f t="array" aca="1" ref="CG51" ca="1">IF($B51="","",IF(ISBLANK(INDIRECT("R9.Web!D"&amp;SUM(18,38*49,32))),"",INDIRECT("R9.Web!D"&amp;SUM(18,38*49,32))))</f>
        <v>N/T</v>
      </c>
      <c r="CH51" s="215" t="str" cm="1">
        <f t="array" aca="1" ref="CH51" ca="1">IF($B51="","",IF(ISBLANK(INDIRECT("R11.Software!D"&amp;SUM(18,38*0,32))),"",INDIRECT("R11.Software!D"&amp;SUM(18,38*0,32))))</f>
        <v>N/T</v>
      </c>
      <c r="CI51" s="215" t="str" cm="1">
        <f t="array" aca="1" ref="CI51" ca="1">IF($B51="","",IF(ISBLANK(INDIRECT("R11.Software!D"&amp;SUM(18,38*1,32))),"",INDIRECT("R11.Software!D"&amp;SUM(18,38*1,32))))</f>
        <v>N/T</v>
      </c>
      <c r="CJ51" s="215" t="str" cm="1">
        <f t="array" aca="1" ref="CJ51" ca="1">IF($B51="","",IF(ISBLANK(INDIRECT("R11.Software!D"&amp;SUM(18,38*2,32))),"",INDIRECT("R11.Software!D"&amp;SUM(18,38*2,32))))</f>
        <v>N/T</v>
      </c>
      <c r="CK51" s="215" t="str" cm="1">
        <f t="array" aca="1" ref="CK51" ca="1">IF($B51="","",IF(ISBLANK(INDIRECT("R11.Software!D"&amp;SUM(18,38*3,32))),"",INDIRECT("R11.Software!D"&amp;SUM(18,38*3,32))))</f>
        <v>N/T</v>
      </c>
      <c r="CL51" s="215" t="str" cm="1">
        <f t="array" aca="1" ref="CL51" ca="1">IF($B51="","",IF(ISBLANK(INDIRECT("R11.Software!D"&amp;SUM(18,38*4,32))),"",INDIRECT("R11.Software!D"&amp;SUM(18,38*4,32))))</f>
        <v>N/T</v>
      </c>
      <c r="CM51" s="215" t="str" cm="1">
        <f t="array" aca="1" ref="CM51" ca="1">IF($B51="","",IF(ISBLANK(INDIRECT("R11.Software!D"&amp;SUM(18,38*5,32))),"",INDIRECT("R11.Software!D"&amp;SUM(18,38*5,32))))</f>
        <v>N/T</v>
      </c>
      <c r="CN51" s="215" t="str" cm="1">
        <f t="array" aca="1" ref="CN51" ca="1">IF($B51="","",IF(ISBLANK(INDIRECT("R12.ServiciosApoyo!D"&amp;SUM(18,38*0,32))),"",INDIRECT("R12.ServiciosApoyo!D"&amp;SUM(18,38*0,32))))</f>
        <v>N/T</v>
      </c>
      <c r="CO51" s="215" t="str" cm="1">
        <f t="array" aca="1" ref="CO51" ca="1">IF($B51="","",IF(ISBLANK(INDIRECT("R12.ServiciosApoyo!D"&amp;SUM(18,38*1,32))),"",INDIRECT("R12.ServiciosApoyo!D"&amp;SUM(18,38*1,32))))</f>
        <v>N/T</v>
      </c>
      <c r="CP51" s="215" t="str" cm="1">
        <f t="array" aca="1" ref="CP51" ca="1">IF($B51="","",IF(ISBLANK(INDIRECT("R12.ServiciosApoyo!D"&amp;SUM(18,38*2,32))),"",INDIRECT("R12.ServiciosApoyo!D"&amp;SUM(18,38*2,32))))</f>
        <v>N/T</v>
      </c>
      <c r="CQ51" s="215" t="str" cm="1">
        <f t="array" aca="1" ref="CQ51" ca="1">IF($B51="","",IF(ISBLANK(INDIRECT("R12.ServiciosApoyo!D"&amp;SUM(18,38*3,32))),"",INDIRECT("R12.ServiciosApoyo!D"&amp;SUM(18,38*3,32))))</f>
        <v>N/T</v>
      </c>
      <c r="CR51" s="215" t="str" cm="1">
        <f t="array" aca="1" ref="CR51" ca="1">IF($B51="","",IF(ISBLANK(INDIRECT("R12.ServiciosApoyo!D"&amp;SUM(18,38*4,32))),"",INDIRECT("R12.ServiciosApoyo!D"&amp;SUM(18,38*4,32))))</f>
        <v>N/T</v>
      </c>
      <c r="CU51" s="100"/>
      <c r="CV51" s="29"/>
      <c r="CW51" s="29"/>
      <c r="CX51" s="29"/>
    </row>
    <row r="52" spans="2:102" ht="20.25">
      <c r="B52" s="181" t="n" cm="1">
        <f t="array" ref="B52">IFERROR(INDEX('03.Muestra'!$B$8:$B$42,SMALL(IF("Página Web"='03.Muestra'!$D$8:$D$42,ROW('03.Muestra'!$B$8:$B$42)-MIN(ROW('03.Muestra'!$D$8:$D$42))+1,""),ROW()-19)),"")</f>
        <v>1.0</v>
      </c>
      <c r="C52" s="97" t="str" cm="1">
        <f t="array" ref="C52">IFERROR(INDEX('03.Muestra'!$C$8:$C$42,SMALL(IF("Página Web"='03.Muestra'!$D$8:$D$42,ROW('03.Muestra'!$C$8:$C$42)-MIN(ROW('03.Muestra'!$D$8:$D$42))+1,""),ROW()-19)),"")</f>
        <v>Home - PortCastelló</v>
      </c>
      <c r="D52" s="98" t="str" cm="1">
        <f t="array" ref="D52">IFERROR(INDEX('03.Muestra'!$F$8:$F$42,SMALL(IF("Página Web"='03.Muestra'!$D$8:$D$42,ROW('03.Muestra'!$F$8:$F$42)-MIN(ROW('03.Muestra'!$D$8:$D$42))+1,""),ROW()-19)),"")</f>
        <v>https://www.portcastello.com/</v>
      </c>
      <c r="E52" s="215" t="str" cm="1">
        <f t="array" aca="1" ref="E52" ca="1">IF($B52="","",IF(ISBLANK(INDIRECT("R5.Genéricos!D"&amp;SUM(18,38*0,33))),"",INDIRECT("R5.Genéricos!D"&amp;SUM(18,38*0,33))))</f>
        <v>N/T</v>
      </c>
      <c r="F52" s="215" t="str" cm="1">
        <f t="array" aca="1" ref="F52" ca="1">IF($B52="","",IF(ISBLANK(INDIRECT("R5.Genéricos!D"&amp;SUM(18,38*1,33))),"",INDIRECT("R5.Genéricos!D"&amp;SUM(18,38*1,33))))</f>
        <v>N/T</v>
      </c>
      <c r="G52" s="215" t="str" cm="1">
        <f t="array" aca="1" ref="G52" ca="1">IF($B52="","",IF(ISBLANK(INDIRECT("R5.Genéricos!D"&amp;SUM(18,38*2,33))),"",INDIRECT("R5.Genéricos!D"&amp;SUM(18,38*2,33))))</f>
        <v>N/T</v>
      </c>
      <c r="H52" s="215" t="str" cm="1">
        <f t="array" aca="1" ref="H52" ca="1">IF($B52="","",IF(ISBLANK(INDIRECT("R6.Voz!D"&amp;SUM(18,38*0,33))),"",INDIRECT("R6.Voz!D"&amp;SUM(18,38*0,33))))</f>
        <v>N/T</v>
      </c>
      <c r="I52" s="215" t="str" cm="1">
        <f t="array" aca="1" ref="I52" ca="1">IF($B52="","",IF(ISBLANK(INDIRECT("R6.Voz!D"&amp;SUM(18,38*1,33))),"",INDIRECT("R6.Voz!D"&amp;SUM(18,38*1,33))))</f>
        <v>N/T</v>
      </c>
      <c r="J52" s="215" t="str" cm="1">
        <f t="array" aca="1" ref="J52" ca="1">IF($B52="","",IF(ISBLANK(INDIRECT("R6.Voz!D"&amp;SUM(18,38*2,33))),"",INDIRECT("R6.Voz!D"&amp;SUM(18,38*2,33))))</f>
        <v>N/T</v>
      </c>
      <c r="K52" s="215" t="str" cm="1">
        <f t="array" aca="1" ref="K52" ca="1">IF($B52="","",IF(ISBLANK(INDIRECT("R6.Voz!D"&amp;SUM(18,38*3,33))),"",INDIRECT("R6.Voz!D"&amp;SUM(18,38*3,33))))</f>
        <v>N/T</v>
      </c>
      <c r="L52" s="215" t="str" cm="1">
        <f t="array" aca="1" ref="L52" ca="1">IF($B52="","",IF(ISBLANK(INDIRECT("R6.Voz!D"&amp;SUM(18,38*4,33))),"",INDIRECT("R6.Voz!D"&amp;SUM(18,38*4,33))))</f>
        <v>N/T</v>
      </c>
      <c r="M52" s="215" t="str" cm="1">
        <f t="array" aca="1" ref="M52" ca="1">IF($B52="","",IF(ISBLANK(INDIRECT("R6.Voz!D"&amp;SUM(18,38*5,33))),"",INDIRECT("R6.Voz!D"&amp;SUM(18,38*5,33))))</f>
        <v>N/T</v>
      </c>
      <c r="N52" s="215" t="str" cm="1">
        <f t="array" aca="1" ref="N52" ca="1">IF($B52="","",IF(ISBLANK(INDIRECT("R6.Voz!D"&amp;SUM(18,38*6,33))),"",INDIRECT("R6.Voz!D"&amp;SUM(18,38*6,33))))</f>
        <v>N/T</v>
      </c>
      <c r="O52" s="215" t="str" cm="1">
        <f t="array" aca="1" ref="O52" ca="1">IF($B52="","",IF(ISBLANK(INDIRECT("R6.Voz!D"&amp;SUM(18,38*7,33))),"",INDIRECT("R6.Voz!D"&amp;SUM(18,38*7,33))))</f>
        <v>N/T</v>
      </c>
      <c r="P52" s="215" t="str" cm="1">
        <f t="array" aca="1" ref="P52" ca="1">IF($B52="","",IF(ISBLANK(INDIRECT("R6.Voz!D"&amp;SUM(18,38*8,33))),"",INDIRECT("R6.Voz!D"&amp;SUM(18,38*8,33))))</f>
        <v>N/T</v>
      </c>
      <c r="Q52" s="215" t="str" cm="1">
        <f t="array" aca="1" ref="Q52" ca="1">IF($B52="","",IF(ISBLANK(INDIRECT("R6.Voz!D"&amp;SUM(18,38*9,33))),"",INDIRECT("R6.Voz!D"&amp;SUM(18,38*9,33))))</f>
        <v>N/T</v>
      </c>
      <c r="R52" s="215" t="str" cm="1">
        <f t="array" aca="1" ref="R52" ca="1">IF($B52="","",IF(ISBLANK(INDIRECT("R6.Voz!D"&amp;SUM(18,38*10,33))),"",INDIRECT("R6.Voz!D"&amp;SUM(18,38*10,33))))</f>
        <v>N/T</v>
      </c>
      <c r="S52" s="215" t="str" cm="1">
        <f t="array" aca="1" ref="S52" ca="1">IF($B52="","",IF(ISBLANK(INDIRECT("R6.Voz!D"&amp;SUM(18,38*11,33))),"",INDIRECT("R6.Voz!D"&amp;SUM(18,38*11,33))))</f>
        <v>N/T</v>
      </c>
      <c r="T52" s="215" t="str" cm="1">
        <f t="array" aca="1" ref="T52" ca="1">IF($B52="","",IF(ISBLANK(INDIRECT("R6.Voz!D"&amp;SUM(18,38*12,33))),"",INDIRECT("R6.Voz!D"&amp;SUM(18,38*12,33))))</f>
        <v>N/T</v>
      </c>
      <c r="U52" s="215" t="str" cm="1">
        <f t="array" aca="1" ref="U52" ca="1">IF($B52="","",IF(ISBLANK(INDIRECT("R6.Voz!D"&amp;SUM(18,38*13,33))),"",INDIRECT("R6.Voz!D"&amp;SUM(18,38*13,33))))</f>
        <v>N/T</v>
      </c>
      <c r="V52" s="215" t="str" cm="1">
        <f t="array" aca="1" ref="V52" ca="1">IF($B52="","",IF(ISBLANK(INDIRECT("R6.Voz!D"&amp;SUM(18,38*14,33))),"",INDIRECT("R6.Voz!D"&amp;SUM(18,38*14,33))))</f>
        <v>N/T</v>
      </c>
      <c r="W52" s="215" t="str" cm="1">
        <f t="array" aca="1" ref="W52" ca="1">IF($B52="","",IF(ISBLANK(INDIRECT("R6.Voz!D"&amp;SUM(18,38*15,33))),"",INDIRECT("R6.Voz!D"&amp;SUM(18,38*15,33))))</f>
        <v>N/T</v>
      </c>
      <c r="X52" s="215" t="str" cm="1">
        <f t="array" aca="1" ref="X52" ca="1">IF($B52="","",IF(ISBLANK(INDIRECT("R6.Voz!D"&amp;SUM(18,38*16,33))),"",INDIRECT("R6.Voz!D"&amp;SUM(18,38*16,33))))</f>
        <v>N/T</v>
      </c>
      <c r="Y52" s="215" t="str" cm="1">
        <f t="array" aca="1" ref="Y52" ca="1">IF($B52="","",IF(ISBLANK(INDIRECT("R6.Voz!D"&amp;SUM(18,38*17,33))),"",INDIRECT("R6.Voz!D"&amp;SUM(18,38*17,33))))</f>
        <v>N/T</v>
      </c>
      <c r="Z52" s="215" t="str" cm="1">
        <f t="array" aca="1" ref="Z52" ca="1">IF($B52="","",IF(ISBLANK(INDIRECT("R6.Voz!D"&amp;SUM(18,38*18,33))),"",INDIRECT("R6.Voz!D"&amp;SUM(18,38*18,33))))</f>
        <v>N/T</v>
      </c>
      <c r="AA52" s="215" t="str" cm="1">
        <f t="array" aca="1" ref="AA52" ca="1">IF($B52="","",IF(ISBLANK(INDIRECT("R7.Video!D"&amp;SUM(18,38*0,33))),"",INDIRECT("R7.Video!D"&amp;SUM(18,38*0,33))))</f>
        <v>N/T</v>
      </c>
      <c r="AB52" s="215" t="str" cm="1">
        <f t="array" aca="1" ref="AB52" ca="1">IF($B52="","",IF(ISBLANK(INDIRECT("R7.Video!D"&amp;SUM(18,38*1,33))),"",INDIRECT("R7.Video!D"&amp;SUM(18,38*1,33))))</f>
        <v>N/T</v>
      </c>
      <c r="AC52" s="215" t="str" cm="1">
        <f t="array" aca="1" ref="AC52" ca="1">IF($B52="","",IF(ISBLANK(INDIRECT("R7.Video!D"&amp;SUM(18,38*2,33))),"",INDIRECT("R7.Video!D"&amp;SUM(18,38*2,33))))</f>
        <v>N/T</v>
      </c>
      <c r="AD52" s="215" t="str" cm="1">
        <f t="array" aca="1" ref="AD52" ca="1">IF($B52="","",IF(ISBLANK(INDIRECT("R7.Video!D"&amp;SUM(18,38*3,33))),"",INDIRECT("R7.Video!D"&amp;SUM(18,38*3,33))))</f>
        <v>N/T</v>
      </c>
      <c r="AE52" s="215" t="str" cm="1">
        <f t="array" aca="1" ref="AE52" ca="1">IF($B52="","",IF(ISBLANK(INDIRECT("R7.Video!D"&amp;SUM(18,38*4,33))),"",INDIRECT("R7.Video!D"&amp;SUM(18,38*4,33))))</f>
        <v>N/T</v>
      </c>
      <c r="AF52" s="215" t="str" cm="1">
        <f t="array" aca="1" ref="AF52" ca="1">IF($B52="","",IF(ISBLANK(INDIRECT("R7.Video!D"&amp;SUM(18,38*5,33))),"",INDIRECT("R7.Video!D"&amp;SUM(18,38*5,33))))</f>
        <v>N/T</v>
      </c>
      <c r="AG52" s="215" t="str" cm="1">
        <f t="array" aca="1" ref="AG52" ca="1">IF($B52="","",IF(ISBLANK(INDIRECT("R7.Video!D"&amp;SUM(18,38*6,33))),"",INDIRECT("R7.Video!D"&amp;SUM(18,38*6,33))))</f>
        <v>N/T</v>
      </c>
      <c r="AH52" s="215" t="str" cm="1">
        <f t="array" aca="1" ref="AH52" ca="1">IF($B52="","",IF(ISBLANK(INDIRECT("R7.Video!D"&amp;SUM(18,38*7,33))),"",INDIRECT("R7.Video!D"&amp;SUM(18,38*7,33))))</f>
        <v>N/T</v>
      </c>
      <c r="AI52" s="215" t="str" cm="1">
        <f t="array" aca="1" ref="AI52" ca="1">IF($B52="","",IF(ISBLANK(INDIRECT("R7.Video!D"&amp;SUM(18,38*8,33))),"",INDIRECT("R7.Video!D"&amp;SUM(18,38*8,33))))</f>
        <v>N/T</v>
      </c>
      <c r="AJ52" s="215" t="str" cm="1">
        <f t="array" aca="1" ref="AJ52" ca="1">IF($B52="","",IF(ISBLANK(INDIRECT("R9.Web!D"&amp;SUM(18,38*0,33))),"",INDIRECT("R9.Web!D"&amp;SUM(18,38*0,33))))</f>
        <v>N/D</v>
      </c>
      <c r="AK52" s="215" t="str" cm="1">
        <f t="array" aca="1" ref="AK52" ca="1">IF($B52="","",IF(ISBLANK(INDIRECT("R9.Web!D"&amp;SUM(18,38*1,33))),"",INDIRECT("R9.Web!D"&amp;SUM(18,38*1,33))))</f>
        <v>N/T</v>
      </c>
      <c r="AL52" s="215" t="str" cm="1">
        <f t="array" aca="1" ref="AL52" ca="1">IF($B52="","",IF(ISBLANK(INDIRECT("R9.Web!D"&amp;SUM(18,38*2,33))),"",INDIRECT("R9.Web!D"&amp;SUM(18,38*2,33))))</f>
        <v>N/T</v>
      </c>
      <c r="AM52" s="215" t="str" cm="1">
        <f t="array" aca="1" ref="AM52" ca="1">IF($B52="","",IF(ISBLANK(INDIRECT("R9.Web!D"&amp;SUM(18,38*3,33))),"",INDIRECT("R9.Web!D"&amp;SUM(18,38*3,33))))</f>
        <v>N/T</v>
      </c>
      <c r="AN52" s="215" t="str" cm="1">
        <f t="array" aca="1" ref="AN52" ca="1">IF($B52="","",IF(ISBLANK(INDIRECT("R9.Web!D"&amp;SUM(18,38*4,33))),"",INDIRECT("R9.Web!D"&amp;SUM(18,38*4,33))))</f>
        <v>N/T</v>
      </c>
      <c r="AO52" s="215" t="str" cm="1">
        <f t="array" aca="1" ref="AO52" ca="1">IF($B52="","",IF(ISBLANK(INDIRECT("R9.Web!D"&amp;SUM(18,38*5,33))),"",INDIRECT("R9.Web!D"&amp;SUM(18,38*5,33))))</f>
        <v>N/D</v>
      </c>
      <c r="AP52" s="215" t="str" cm="1">
        <f t="array" aca="1" ref="AP52" ca="1">IF($B52="","",IF(ISBLANK(INDIRECT("R9.Web!D"&amp;SUM(18,38*6,33))),"",INDIRECT("R9.Web!D"&amp;SUM(18,38*6,33))))</f>
        <v>N/T</v>
      </c>
      <c r="AQ52" s="215" t="str" cm="1">
        <f t="array" aca="1" ref="AQ52" ca="1">IF($B52="","",IF(ISBLANK(INDIRECT("R9.Web!D"&amp;SUM(18,38*7,33))),"",INDIRECT("R9.Web!D"&amp;SUM(18,38*7,33))))</f>
        <v>N/T</v>
      </c>
      <c r="AR52" s="215" t="str" cm="1">
        <f t="array" aca="1" ref="AR52" ca="1">IF($B52="","",IF(ISBLANK(INDIRECT("R9.Web!D"&amp;SUM(18,38*8,33))),"",INDIRECT("R9.Web!D"&amp;SUM(18,38*8,33))))</f>
        <v>N/D</v>
      </c>
      <c r="AS52" s="215" t="str" cm="1">
        <f t="array" aca="1" ref="AS52" ca="1">IF($B52="","",IF(ISBLANK(INDIRECT("R9.Web!D"&amp;SUM(18,38*9,33))),"",INDIRECT("R9.Web!D"&amp;SUM(18,38*9,33))))</f>
        <v>N/D</v>
      </c>
      <c r="AT52" s="215" t="str" cm="1">
        <f t="array" aca="1" ref="AT52" ca="1">IF($B52="","",IF(ISBLANK(INDIRECT("R9.Web!D"&amp;SUM(18,38*10,33))),"",INDIRECT("R9.Web!D"&amp;SUM(18,38*10,33))))</f>
        <v>N/T</v>
      </c>
      <c r="AU52" s="215" t="str" cm="1">
        <f t="array" aca="1" ref="AU52" ca="1">IF($B52="","",IF(ISBLANK(INDIRECT("R9.Web!D"&amp;SUM(18,38*11,33))),"",INDIRECT("R9.Web!D"&amp;SUM(18,38*11,33))))</f>
        <v>N/T</v>
      </c>
      <c r="AV52" s="215" t="str" cm="1">
        <f t="array" aca="1" ref="AV52" ca="1">IF($B52="","",IF(ISBLANK(INDIRECT("R9.Web!D"&amp;SUM(18,38*12,33))),"",INDIRECT("R9.Web!D"&amp;SUM(18,38*12,33))))</f>
        <v>N/D</v>
      </c>
      <c r="AW52" s="215" t="str" cm="1">
        <f t="array" aca="1" ref="AW52" ca="1">IF($B52="","",IF(ISBLANK(INDIRECT("R9.Web!D"&amp;SUM(18,38*13,33))),"",INDIRECT("R9.Web!D"&amp;SUM(18,38*13,33))))</f>
        <v>N/T</v>
      </c>
      <c r="AX52" s="215" t="str" cm="1">
        <f t="array" aca="1" ref="AX52" ca="1">IF($B52="","",IF(ISBLANK(INDIRECT("R9.Web!D"&amp;SUM(18,38*14,33))),"",INDIRECT("R9.Web!D"&amp;SUM(18,38*14,33))))</f>
        <v>N/T</v>
      </c>
      <c r="AY52" s="215" t="str" cm="1">
        <f t="array" aca="1" ref="AY52" ca="1">IF($B52="","",IF(ISBLANK(INDIRECT("R9.Web!D"&amp;SUM(18,38*15,33))),"",INDIRECT("R9.Web!D"&amp;SUM(18,38*15,33))))</f>
        <v>N/D</v>
      </c>
      <c r="AZ52" s="215" t="str" cm="1">
        <f t="array" aca="1" ref="AZ52" ca="1">IF($B52="","",IF(ISBLANK(INDIRECT("R9.Web!D"&amp;SUM(18,38*16,33))),"",INDIRECT("R9.Web!D"&amp;SUM(18,38*16,33))))</f>
        <v>N/T</v>
      </c>
      <c r="BA52" s="215" t="str" cm="1">
        <f t="array" aca="1" ref="BA52" ca="1">IF($B52="","",IF(ISBLANK(INDIRECT("R9.Web!D"&amp;SUM(18,38*17,33))),"",INDIRECT("R9.Web!D"&amp;SUM(18,38*17,33))))</f>
        <v>N/D</v>
      </c>
      <c r="BB52" s="215" t="str" cm="1">
        <f t="array" aca="1" ref="BB52" ca="1">IF($B52="","",IF(ISBLANK(INDIRECT("R9.Web!D"&amp;SUM(18,38*18,33))),"",INDIRECT("R9.Web!D"&amp;SUM(18,38*18,33))))</f>
        <v>N/T</v>
      </c>
      <c r="BC52" s="215" t="str" cm="1">
        <f t="array" aca="1" ref="BC52" ca="1">IF($B52="","",IF(ISBLANK(INDIRECT("R9.Web!D"&amp;SUM(18,38*19,33))),"",INDIRECT("R9.Web!D"&amp;SUM(18,38*19,33))))</f>
        <v>N/D</v>
      </c>
      <c r="BD52" s="215" t="str" cm="1">
        <f t="array" aca="1" ref="BD52" ca="1">IF($B52="","",IF(ISBLANK(INDIRECT("R9.Web!D"&amp;SUM(18,38*20,33))),"",INDIRECT("R9.Web!D"&amp;SUM(18,38*20,33))))</f>
        <v>N/T</v>
      </c>
      <c r="BE52" s="215" t="str" cm="1">
        <f t="array" aca="1" ref="BE52" ca="1">IF($B52="","",IF(ISBLANK(INDIRECT("R9.Web!D"&amp;SUM(18,38*21,33))),"",INDIRECT("R9.Web!D"&amp;SUM(18,38*21,33))))</f>
        <v>N/T</v>
      </c>
      <c r="BF52" s="215" t="str" cm="1">
        <f t="array" aca="1" ref="BF52" ca="1">IF($B52="","",IF(ISBLANK(INDIRECT("R9.Web!D"&amp;SUM(18,38*22,33))),"",INDIRECT("R9.Web!D"&amp;SUM(18,38*22,33))))</f>
        <v>N/D</v>
      </c>
      <c r="BG52" s="215" t="str" cm="1">
        <f t="array" aca="1" ref="BG52" ca="1">IF($B52="","",IF(ISBLANK(INDIRECT("R9.Web!D"&amp;SUM(18,38*23,33))),"",INDIRECT("R9.Web!D"&amp;SUM(18,38*23,33))))</f>
        <v>N/D</v>
      </c>
      <c r="BH52" s="215" t="str" cm="1">
        <f t="array" aca="1" ref="BH52" ca="1">IF($B52="","",IF(ISBLANK(INDIRECT("R9.Web!D"&amp;SUM(18,38*24,33))),"",INDIRECT("R9.Web!D"&amp;SUM(18,38*24,33))))</f>
        <v>N/T</v>
      </c>
      <c r="BI52" s="215" t="str" cm="1">
        <f t="array" aca="1" ref="BI52" ca="1">IF($B52="","",IF(ISBLANK(INDIRECT("R9.Web!D"&amp;SUM(18,38*25,33))),"",INDIRECT("R9.Web!D"&amp;SUM(18,38*25,33))))</f>
        <v>N/D</v>
      </c>
      <c r="BJ52" s="215" t="str" cm="1">
        <f t="array" aca="1" ref="BJ52" ca="1">IF($B52="","",IF(ISBLANK(INDIRECT("R9.Web!D"&amp;SUM(18,38*26,33))),"",INDIRECT("R9.Web!D"&amp;SUM(18,38*26,33))))</f>
        <v>N/D</v>
      </c>
      <c r="BK52" s="215" t="str" cm="1">
        <f t="array" aca="1" ref="BK52" ca="1">IF($B52="","",IF(ISBLANK(INDIRECT("R9.Web!D"&amp;SUM(18,38*27,33))),"",INDIRECT("R9.Web!D"&amp;SUM(18,38*27,33))))</f>
        <v>N/D</v>
      </c>
      <c r="BL52" s="215" t="str" cm="1">
        <f t="array" aca="1" ref="BL52" ca="1">IF($B52="","",IF(ISBLANK(INDIRECT("R9.Web!D"&amp;SUM(18,38*28,33))),"",INDIRECT("R9.Web!D"&amp;SUM(18,38*28,33))))</f>
        <v>N/D</v>
      </c>
      <c r="BM52" s="215" t="str" cm="1">
        <f t="array" aca="1" ref="BM52" ca="1">IF($B52="","",IF(ISBLANK(INDIRECT("R9.Web!D"&amp;SUM(18,38*29,33))),"",INDIRECT("R9.Web!D"&amp;SUM(18,38*29,33))))</f>
        <v>N/D</v>
      </c>
      <c r="BN52" s="215" t="str" cm="1">
        <f t="array" aca="1" ref="BN52" ca="1">IF($B52="","",IF(ISBLANK(INDIRECT("R9.Web!D"&amp;SUM(18,38*30,33))),"",INDIRECT("R9.Web!D"&amp;SUM(18,38*30,33))))</f>
        <v>N/T</v>
      </c>
      <c r="BO52" s="215" t="str" cm="1">
        <f t="array" aca="1" ref="BO52" ca="1">IF($B52="","",IF(ISBLANK(INDIRECT("R9.Web!D"&amp;SUM(18,38*31,33))),"",INDIRECT("R9.Web!D"&amp;SUM(18,38*31,33))))</f>
        <v>N/D</v>
      </c>
      <c r="BP52" s="215" t="str" cm="1">
        <f t="array" aca="1" ref="BP52" ca="1">IF($B52="","",IF(ISBLANK(INDIRECT("R9.Web!D"&amp;SUM(18,38*32,33))),"",INDIRECT("R9.Web!D"&amp;SUM(18,38*32,33))))</f>
        <v>N/T</v>
      </c>
      <c r="BQ52" s="215" t="str" cm="1">
        <f t="array" aca="1" ref="BQ52" ca="1">IF($B52="","",IF(ISBLANK(INDIRECT("R9.Web!D"&amp;SUM(18,38*33,33))),"",INDIRECT("R9.Web!D"&amp;SUM(18,38*33,33))))</f>
        <v>N/T</v>
      </c>
      <c r="BR52" s="215" t="str" cm="1">
        <f t="array" aca="1" ref="BR52" ca="1">IF($B52="","",IF(ISBLANK(INDIRECT("R9.Web!D"&amp;SUM(18,38*34,33))),"",INDIRECT("R9.Web!D"&amp;SUM(18,38*34,33))))</f>
        <v>N/D</v>
      </c>
      <c r="BS52" s="215" t="str" cm="1">
        <f t="array" aca="1" ref="BS52" ca="1">IF($B52="","",IF(ISBLANK(INDIRECT("R9.Web!D"&amp;SUM(18,38*35,33))),"",INDIRECT("R9.Web!D"&amp;SUM(18,38*35,33))))</f>
        <v>N/T</v>
      </c>
      <c r="BT52" s="215" t="str" cm="1">
        <f t="array" aca="1" ref="BT52" ca="1">IF($B52="","",IF(ISBLANK(INDIRECT("R9.Web!D"&amp;SUM(18,38*36,33))),"",INDIRECT("R9.Web!D"&amp;SUM(18,38*36,33))))</f>
        <v>N/D</v>
      </c>
      <c r="BU52" s="215" t="str" cm="1">
        <f t="array" aca="1" ref="BU52" ca="1">IF($B52="","",IF(ISBLANK(INDIRECT("R9.Web!D"&amp;SUM(18,38*37,33))),"",INDIRECT("R9.Web!D"&amp;SUM(18,38*37,33))))</f>
        <v>N/D</v>
      </c>
      <c r="BV52" s="215" t="str" cm="1">
        <f t="array" aca="1" ref="BV52" ca="1">IF($B52="","",IF(ISBLANK(INDIRECT("R9.Web!D"&amp;SUM(18,38*38,33))),"",INDIRECT("R9.Web!D"&amp;SUM(18,38*38,33))))</f>
        <v>N/D</v>
      </c>
      <c r="BW52" s="215" t="str" cm="1">
        <f t="array" aca="1" ref="BW52" ca="1">IF($B52="","",IF(ISBLANK(INDIRECT("R9.Web!D"&amp;SUM(18,38*39,33))),"",INDIRECT("R9.Web!D"&amp;SUM(18,38*39,33))))</f>
        <v>N/D</v>
      </c>
      <c r="BX52" s="215" t="str" cm="1">
        <f t="array" aca="1" ref="BX52" ca="1">IF($B52="","",IF(ISBLANK(INDIRECT("R9.Web!D"&amp;SUM(18,38*40,33))),"",INDIRECT("R9.Web!D"&amp;SUM(18,38*40,33))))</f>
        <v>N/D</v>
      </c>
      <c r="BY52" s="215" t="str" cm="1">
        <f t="array" aca="1" ref="BY52" ca="1">IF($B52="","",IF(ISBLANK(INDIRECT("R9.Web!D"&amp;SUM(18,38*41,33))),"",INDIRECT("R9.Web!D"&amp;SUM(18,38*41,33))))</f>
        <v>N/T</v>
      </c>
      <c r="BZ52" s="215" t="str" cm="1">
        <f t="array" aca="1" ref="BZ52" ca="1">IF($B52="","",IF(ISBLANK(INDIRECT("R9.Web!D"&amp;SUM(18,38*42,33))),"",INDIRECT("R9.Web!D"&amp;SUM(18,38*42,33))))</f>
        <v>N/T</v>
      </c>
      <c r="CA52" s="215" t="str" cm="1">
        <f t="array" aca="1" ref="CA52" ca="1">IF($B52="","",IF(ISBLANK(INDIRECT("R9.Web!D"&amp;SUM(18,38*43,33))),"",INDIRECT("R9.Web!D"&amp;SUM(18,38*43,33))))</f>
        <v>N/D</v>
      </c>
      <c r="CB52" s="215" t="str" cm="1">
        <f t="array" aca="1" ref="CB52" ca="1">IF($B52="","",IF(ISBLANK(INDIRECT("R9.Web!D"&amp;SUM(18,38*44,33))),"",INDIRECT("R9.Web!D"&amp;SUM(18,38*44,33))))</f>
        <v>N/T</v>
      </c>
      <c r="CC52" s="215" t="str" cm="1">
        <f t="array" aca="1" ref="CC52" ca="1">IF($B52="","",IF(ISBLANK(INDIRECT("R9.Web!D"&amp;SUM(18,38*45,33))),"",INDIRECT("R9.Web!D"&amp;SUM(18,38*45,33))))</f>
        <v>N/T</v>
      </c>
      <c r="CD52" s="215" t="str" cm="1">
        <f t="array" aca="1" ref="CD52" ca="1">IF($B52="","",IF(ISBLANK(INDIRECT("R9.Web!D"&amp;SUM(18,38*46,33))),"",INDIRECT("R9.Web!D"&amp;SUM(18,38*46,33))))</f>
        <v>N/T</v>
      </c>
      <c r="CE52" s="215" t="str" cm="1">
        <f t="array" aca="1" ref="CE52" ca="1">IF($B52="","",IF(ISBLANK(INDIRECT("R9.Web!D"&amp;SUM(18,38*47,33))),"",INDIRECT("R9.Web!D"&amp;SUM(18,38*47,33))))</f>
        <v>N/D</v>
      </c>
      <c r="CF52" s="215" t="str" cm="1">
        <f t="array" aca="1" ref="CF52" ca="1">IF($B52="","",IF(ISBLANK(INDIRECT("R9.Web!D"&amp;SUM(18,38*48,33))),"",INDIRECT("R9.Web!D"&amp;SUM(18,38*48,33))))</f>
        <v>N/T</v>
      </c>
      <c r="CG52" s="215" t="str" cm="1">
        <f t="array" aca="1" ref="CG52" ca="1">IF($B52="","",IF(ISBLANK(INDIRECT("R9.Web!D"&amp;SUM(18,38*49,33))),"",INDIRECT("R9.Web!D"&amp;SUM(18,38*49,33))))</f>
        <v>N/T</v>
      </c>
      <c r="CH52" s="215" t="str" cm="1">
        <f t="array" aca="1" ref="CH52" ca="1">IF($B52="","",IF(ISBLANK(INDIRECT("R11.Software!D"&amp;SUM(18,38*0,33))),"",INDIRECT("R11.Software!D"&amp;SUM(18,38*0,33))))</f>
        <v>N/T</v>
      </c>
      <c r="CI52" s="215" t="str" cm="1">
        <f t="array" aca="1" ref="CI52" ca="1">IF($B52="","",IF(ISBLANK(INDIRECT("R11.Software!D"&amp;SUM(18,38*1,33))),"",INDIRECT("R11.Software!D"&amp;SUM(18,38*1,33))))</f>
        <v>N/T</v>
      </c>
      <c r="CJ52" s="215" t="str" cm="1">
        <f t="array" aca="1" ref="CJ52" ca="1">IF($B52="","",IF(ISBLANK(INDIRECT("R11.Software!D"&amp;SUM(18,38*2,33))),"",INDIRECT("R11.Software!D"&amp;SUM(18,38*2,33))))</f>
        <v>N/T</v>
      </c>
      <c r="CK52" s="215" t="str" cm="1">
        <f t="array" aca="1" ref="CK52" ca="1">IF($B52="","",IF(ISBLANK(INDIRECT("R11.Software!D"&amp;SUM(18,38*3,33))),"",INDIRECT("R11.Software!D"&amp;SUM(18,38*3,33))))</f>
        <v>N/T</v>
      </c>
      <c r="CL52" s="215" t="str" cm="1">
        <f t="array" aca="1" ref="CL52" ca="1">IF($B52="","",IF(ISBLANK(INDIRECT("R11.Software!D"&amp;SUM(18,38*4,33))),"",INDIRECT("R11.Software!D"&amp;SUM(18,38*4,33))))</f>
        <v>N/T</v>
      </c>
      <c r="CM52" s="215" t="str" cm="1">
        <f t="array" aca="1" ref="CM52" ca="1">IF($B52="","",IF(ISBLANK(INDIRECT("R11.Software!D"&amp;SUM(18,38*5,33))),"",INDIRECT("R11.Software!D"&amp;SUM(18,38*5,33))))</f>
        <v>N/T</v>
      </c>
      <c r="CN52" s="215" t="str" cm="1">
        <f t="array" aca="1" ref="CN52" ca="1">IF($B52="","",IF(ISBLANK(INDIRECT("R12.ServiciosApoyo!D"&amp;SUM(18,38*0,33))),"",INDIRECT("R12.ServiciosApoyo!D"&amp;SUM(18,38*0,33))))</f>
        <v>N/T</v>
      </c>
      <c r="CO52" s="215" t="str" cm="1">
        <f t="array" aca="1" ref="CO52" ca="1">IF($B52="","",IF(ISBLANK(INDIRECT("R12.ServiciosApoyo!D"&amp;SUM(18,38*1,33))),"",INDIRECT("R12.ServiciosApoyo!D"&amp;SUM(18,38*1,33))))</f>
        <v>N/T</v>
      </c>
      <c r="CP52" s="215" t="str" cm="1">
        <f t="array" aca="1" ref="CP52" ca="1">IF($B52="","",IF(ISBLANK(INDIRECT("R12.ServiciosApoyo!D"&amp;SUM(18,38*2,33))),"",INDIRECT("R12.ServiciosApoyo!D"&amp;SUM(18,38*2,33))))</f>
        <v>N/T</v>
      </c>
      <c r="CQ52" s="215" t="str" cm="1">
        <f t="array" aca="1" ref="CQ52" ca="1">IF($B52="","",IF(ISBLANK(INDIRECT("R12.ServiciosApoyo!D"&amp;SUM(18,38*3,33))),"",INDIRECT("R12.ServiciosApoyo!D"&amp;SUM(18,38*3,33))))</f>
        <v>N/T</v>
      </c>
      <c r="CR52" s="215" t="str" cm="1">
        <f t="array" aca="1" ref="CR52" ca="1">IF($B52="","",IF(ISBLANK(INDIRECT("R12.ServiciosApoyo!D"&amp;SUM(18,38*4,33))),"",INDIRECT("R12.ServiciosApoyo!D"&amp;SUM(18,38*4,33))))</f>
        <v>N/T</v>
      </c>
      <c r="CU52" s="100"/>
      <c r="CV52" s="29"/>
      <c r="CW52" s="29"/>
      <c r="CX52" s="29"/>
    </row>
    <row r="53" spans="2:102" ht="20.25">
      <c r="B53" s="181" t="str" cm="1">
        <f t="array" ref="B53">IFERROR(INDEX('03.Muestra'!$B$8:$B$42,SMALL(IF("Página Web"='03.Muestra'!$D$8:$D$42,ROW('03.Muestra'!$B$8:$B$42)-MIN(ROW('03.Muestra'!$D$8:$D$42))+1,""),ROW()-19)),"")</f>
        <v/>
      </c>
      <c r="C53" s="97" t="str" cm="1">
        <f t="array" ref="C53">IFERROR(INDEX('03.Muestra'!$C$8:$C$42,SMALL(IF("Página Web"='03.Muestra'!$D$8:$D$42,ROW('03.Muestra'!$C$8:$C$42)-MIN(ROW('03.Muestra'!$D$8:$D$42))+1,""),ROW()-19)),"")</f>
        <v/>
      </c>
      <c r="D53" s="98" t="str" cm="1">
        <f t="array" ref="D53">IFERROR(INDEX('03.Muestra'!$F$8:$F$42,SMALL(IF("Página Web"='03.Muestra'!$D$8:$D$42,ROW('03.Muestra'!$F$8:$F$42)-MIN(ROW('03.Muestra'!$D$8:$D$42))+1,""),ROW()-19)),"")</f>
        <v/>
      </c>
      <c r="E53" s="215" t="str" cm="1">
        <f t="array" aca="1" ref="E53" ca="1">IF($B53="","",IF(ISBLANK(INDIRECT("R5.Genéricos!D"&amp;SUM(18,38*0,34))),"",INDIRECT("R5.Genéricos!D"&amp;SUM(18,38*0,34))))</f>
        <v/>
      </c>
      <c r="F53" s="215" t="str" cm="1">
        <f t="array" aca="1" ref="F53" ca="1">IF($B53="","",IF(ISBLANK(INDIRECT("R5.Genéricos!D"&amp;SUM(18,38*1,34))),"",INDIRECT("R5.Genéricos!D"&amp;SUM(18,38*1,34))))</f>
        <v/>
      </c>
      <c r="G53" s="215" t="str" cm="1">
        <f t="array" aca="1" ref="G53" ca="1">IF($B53="","",IF(ISBLANK(INDIRECT("R5.Genéricos!D"&amp;SUM(18,38*2,34))),"",INDIRECT("R5.Genéricos!D"&amp;SUM(18,38*2,34))))</f>
        <v/>
      </c>
      <c r="H53" s="215" t="str" cm="1">
        <f t="array" aca="1" ref="H53" ca="1">IF($B53="","",IF(ISBLANK(INDIRECT("R6.Voz!D"&amp;SUM(18,38*0,34))),"",INDIRECT("R6.Voz!D"&amp;SUM(18,38*0,34))))</f>
        <v/>
      </c>
      <c r="I53" s="215" t="str" cm="1">
        <f t="array" aca="1" ref="I53" ca="1">IF($B53="","",IF(ISBLANK(INDIRECT("R6.Voz!D"&amp;SUM(18,38*1,34))),"",INDIRECT("R6.Voz!D"&amp;SUM(18,38*1,34))))</f>
        <v/>
      </c>
      <c r="J53" s="215" t="str" cm="1">
        <f t="array" aca="1" ref="J53" ca="1">IF($B53="","",IF(ISBLANK(INDIRECT("R6.Voz!D"&amp;SUM(18,38*2,34))),"",INDIRECT("R6.Voz!D"&amp;SUM(18,38*2,34))))</f>
        <v/>
      </c>
      <c r="K53" s="215" t="str" cm="1">
        <f t="array" aca="1" ref="K53" ca="1">IF($B53="","",IF(ISBLANK(INDIRECT("R6.Voz!D"&amp;SUM(18,38*3,34))),"",INDIRECT("R6.Voz!D"&amp;SUM(18,38*3,34))))</f>
        <v/>
      </c>
      <c r="L53" s="215" t="str" cm="1">
        <f t="array" aca="1" ref="L53" ca="1">IF($B53="","",IF(ISBLANK(INDIRECT("R6.Voz!D"&amp;SUM(18,38*4,34))),"",INDIRECT("R6.Voz!D"&amp;SUM(18,38*4,34))))</f>
        <v/>
      </c>
      <c r="M53" s="215" t="str" cm="1">
        <f t="array" aca="1" ref="M53" ca="1">IF($B53="","",IF(ISBLANK(INDIRECT("R6.Voz!D"&amp;SUM(18,38*5,34))),"",INDIRECT("R6.Voz!D"&amp;SUM(18,38*5,34))))</f>
        <v/>
      </c>
      <c r="N53" s="215" t="str" cm="1">
        <f t="array" aca="1" ref="N53" ca="1">IF($B53="","",IF(ISBLANK(INDIRECT("R6.Voz!D"&amp;SUM(18,38*6,34))),"",INDIRECT("R6.Voz!D"&amp;SUM(18,38*6,34))))</f>
        <v/>
      </c>
      <c r="O53" s="215" t="str" cm="1">
        <f t="array" aca="1" ref="O53" ca="1">IF($B53="","",IF(ISBLANK(INDIRECT("R6.Voz!D"&amp;SUM(18,38*7,34))),"",INDIRECT("R6.Voz!D"&amp;SUM(18,38*7,34))))</f>
        <v/>
      </c>
      <c r="P53" s="215" t="str" cm="1">
        <f t="array" aca="1" ref="P53" ca="1">IF($B53="","",IF(ISBLANK(INDIRECT("R6.Voz!D"&amp;SUM(18,38*8,34))),"",INDIRECT("R6.Voz!D"&amp;SUM(18,38*8,34))))</f>
        <v/>
      </c>
      <c r="Q53" s="215" t="str" cm="1">
        <f t="array" aca="1" ref="Q53" ca="1">IF($B53="","",IF(ISBLANK(INDIRECT("R6.Voz!D"&amp;SUM(18,38*9,34))),"",INDIRECT("R6.Voz!D"&amp;SUM(18,38*9,34))))</f>
        <v/>
      </c>
      <c r="R53" s="215" t="str" cm="1">
        <f t="array" aca="1" ref="R53" ca="1">IF($B53="","",IF(ISBLANK(INDIRECT("R6.Voz!D"&amp;SUM(18,38*10,34))),"",INDIRECT("R6.Voz!D"&amp;SUM(18,38*10,34))))</f>
        <v/>
      </c>
      <c r="S53" s="215" t="str" cm="1">
        <f t="array" aca="1" ref="S53" ca="1">IF($B53="","",IF(ISBLANK(INDIRECT("R6.Voz!D"&amp;SUM(18,38*11,34))),"",INDIRECT("R6.Voz!D"&amp;SUM(18,38*11,34))))</f>
        <v/>
      </c>
      <c r="T53" s="215" t="str" cm="1">
        <f t="array" aca="1" ref="T53" ca="1">IF($B53="","",IF(ISBLANK(INDIRECT("R6.Voz!D"&amp;SUM(18,38*12,34))),"",INDIRECT("R6.Voz!D"&amp;SUM(18,38*12,34))))</f>
        <v/>
      </c>
      <c r="U53" s="215" t="str" cm="1">
        <f t="array" aca="1" ref="U53" ca="1">IF($B53="","",IF(ISBLANK(INDIRECT("R6.Voz!D"&amp;SUM(18,38*13,34))),"",INDIRECT("R6.Voz!D"&amp;SUM(18,38*13,34))))</f>
        <v/>
      </c>
      <c r="V53" s="215" t="str" cm="1">
        <f t="array" aca="1" ref="V53" ca="1">IF($B53="","",IF(ISBLANK(INDIRECT("R6.Voz!D"&amp;SUM(18,38*14,34))),"",INDIRECT("R6.Voz!D"&amp;SUM(18,38*14,34))))</f>
        <v/>
      </c>
      <c r="W53" s="215" t="str" cm="1">
        <f t="array" aca="1" ref="W53" ca="1">IF($B53="","",IF(ISBLANK(INDIRECT("R6.Voz!D"&amp;SUM(18,38*15,34))),"",INDIRECT("R6.Voz!D"&amp;SUM(18,38*15,34))))</f>
        <v/>
      </c>
      <c r="X53" s="215" t="str" cm="1">
        <f t="array" aca="1" ref="X53" ca="1">IF($B53="","",IF(ISBLANK(INDIRECT("R6.Voz!D"&amp;SUM(18,38*16,34))),"",INDIRECT("R6.Voz!D"&amp;SUM(18,38*16,34))))</f>
        <v/>
      </c>
      <c r="Y53" s="215" t="str" cm="1">
        <f t="array" aca="1" ref="Y53" ca="1">IF($B53="","",IF(ISBLANK(INDIRECT("R6.Voz!D"&amp;SUM(18,38*17,34))),"",INDIRECT("R6.Voz!D"&amp;SUM(18,38*17,34))))</f>
        <v/>
      </c>
      <c r="Z53" s="215" t="str" cm="1">
        <f t="array" aca="1" ref="Z53" ca="1">IF($B53="","",IF(ISBLANK(INDIRECT("R6.Voz!D"&amp;SUM(18,38*18,34))),"",INDIRECT("R6.Voz!D"&amp;SUM(18,38*18,34))))</f>
        <v/>
      </c>
      <c r="AA53" s="215" t="str" cm="1">
        <f t="array" aca="1" ref="AA53" ca="1">IF($B53="","",IF(ISBLANK(INDIRECT("R7.Video!D"&amp;SUM(18,38*0,34))),"",INDIRECT("R7.Video!D"&amp;SUM(18,38*0,34))))</f>
        <v/>
      </c>
      <c r="AB53" s="215" t="str" cm="1">
        <f t="array" aca="1" ref="AB53" ca="1">IF($B53="","",IF(ISBLANK(INDIRECT("R7.Video!D"&amp;SUM(18,38*1,34))),"",INDIRECT("R7.Video!D"&amp;SUM(18,38*1,34))))</f>
        <v/>
      </c>
      <c r="AC53" s="215" t="str" cm="1">
        <f t="array" aca="1" ref="AC53" ca="1">IF($B53="","",IF(ISBLANK(INDIRECT("R7.Video!D"&amp;SUM(18,38*2,34))),"",INDIRECT("R7.Video!D"&amp;SUM(18,38*2,34))))</f>
        <v/>
      </c>
      <c r="AD53" s="215" t="str" cm="1">
        <f t="array" aca="1" ref="AD53" ca="1">IF($B53="","",IF(ISBLANK(INDIRECT("R7.Video!D"&amp;SUM(18,38*3,34))),"",INDIRECT("R7.Video!D"&amp;SUM(18,38*3,34))))</f>
        <v/>
      </c>
      <c r="AE53" s="215" t="str" cm="1">
        <f t="array" aca="1" ref="AE53" ca="1">IF($B53="","",IF(ISBLANK(INDIRECT("R7.Video!D"&amp;SUM(18,38*4,34))),"",INDIRECT("R7.Video!D"&amp;SUM(18,38*4,34))))</f>
        <v/>
      </c>
      <c r="AF53" s="215" t="str" cm="1">
        <f t="array" aca="1" ref="AF53" ca="1">IF($B53="","",IF(ISBLANK(INDIRECT("R7.Video!D"&amp;SUM(18,38*5,34))),"",INDIRECT("R7.Video!D"&amp;SUM(18,38*5,34))))</f>
        <v/>
      </c>
      <c r="AG53" s="215" t="str" cm="1">
        <f t="array" aca="1" ref="AG53" ca="1">IF($B53="","",IF(ISBLANK(INDIRECT("R7.Video!D"&amp;SUM(18,38*6,34))),"",INDIRECT("R7.Video!D"&amp;SUM(18,38*6,34))))</f>
        <v/>
      </c>
      <c r="AH53" s="215" t="str" cm="1">
        <f t="array" aca="1" ref="AH53" ca="1">IF($B53="","",IF(ISBLANK(INDIRECT("R7.Video!D"&amp;SUM(18,38*7,34))),"",INDIRECT("R7.Video!D"&amp;SUM(18,38*7,34))))</f>
        <v/>
      </c>
      <c r="AI53" s="215" t="str" cm="1">
        <f t="array" aca="1" ref="AI53" ca="1">IF($B53="","",IF(ISBLANK(INDIRECT("R7.Video!D"&amp;SUM(18,38*8,34))),"",INDIRECT("R7.Video!D"&amp;SUM(18,38*8,34))))</f>
        <v/>
      </c>
      <c r="AJ53" s="215" t="str" cm="1">
        <f t="array" aca="1" ref="AJ53" ca="1">IF($B53="","",IF(ISBLANK(INDIRECT("R9.Web!D"&amp;SUM(18,38*0,34))),"",INDIRECT("R9.Web!D"&amp;SUM(18,38*0,34))))</f>
        <v/>
      </c>
      <c r="AK53" s="215" t="str" cm="1">
        <f t="array" aca="1" ref="AK53" ca="1">IF($B53="","",IF(ISBLANK(INDIRECT("R9.Web!D"&amp;SUM(18,38*1,34))),"",INDIRECT("R9.Web!D"&amp;SUM(18,38*1,34))))</f>
        <v/>
      </c>
      <c r="AL53" s="215" t="str" cm="1">
        <f t="array" aca="1" ref="AL53" ca="1">IF($B53="","",IF(ISBLANK(INDIRECT("R9.Web!D"&amp;SUM(18,38*2,34))),"",INDIRECT("R9.Web!D"&amp;SUM(18,38*2,34))))</f>
        <v/>
      </c>
      <c r="AM53" s="215" t="str" cm="1">
        <f t="array" aca="1" ref="AM53" ca="1">IF($B53="","",IF(ISBLANK(INDIRECT("R9.Web!D"&amp;SUM(18,38*3,34))),"",INDIRECT("R9.Web!D"&amp;SUM(18,38*3,34))))</f>
        <v/>
      </c>
      <c r="AN53" s="215" t="str" cm="1">
        <f t="array" aca="1" ref="AN53" ca="1">IF($B53="","",IF(ISBLANK(INDIRECT("R9.Web!D"&amp;SUM(18,38*4,34))),"",INDIRECT("R9.Web!D"&amp;SUM(18,38*4,34))))</f>
        <v/>
      </c>
      <c r="AO53" s="215" t="str" cm="1">
        <f t="array" aca="1" ref="AO53" ca="1">IF($B53="","",IF(ISBLANK(INDIRECT("R9.Web!D"&amp;SUM(18,38*5,34))),"",INDIRECT("R9.Web!D"&amp;SUM(18,38*5,34))))</f>
        <v/>
      </c>
      <c r="AP53" s="215" t="str" cm="1">
        <f t="array" aca="1" ref="AP53" ca="1">IF($B53="","",IF(ISBLANK(INDIRECT("R9.Web!D"&amp;SUM(18,38*6,34))),"",INDIRECT("R9.Web!D"&amp;SUM(18,38*6,34))))</f>
        <v/>
      </c>
      <c r="AQ53" s="215" t="str" cm="1">
        <f t="array" aca="1" ref="AQ53" ca="1">IF($B53="","",IF(ISBLANK(INDIRECT("R9.Web!D"&amp;SUM(18,38*7,34))),"",INDIRECT("R9.Web!D"&amp;SUM(18,38*7,34))))</f>
        <v/>
      </c>
      <c r="AR53" s="215" t="str" cm="1">
        <f t="array" aca="1" ref="AR53" ca="1">IF($B53="","",IF(ISBLANK(INDIRECT("R9.Web!D"&amp;SUM(18,38*8,34))),"",INDIRECT("R9.Web!D"&amp;SUM(18,38*8,34))))</f>
        <v/>
      </c>
      <c r="AS53" s="215" t="str" cm="1">
        <f t="array" aca="1" ref="AS53" ca="1">IF($B53="","",IF(ISBLANK(INDIRECT("R9.Web!D"&amp;SUM(18,38*9,34))),"",INDIRECT("R9.Web!D"&amp;SUM(18,38*9,34))))</f>
        <v/>
      </c>
      <c r="AT53" s="215" t="str" cm="1">
        <f t="array" aca="1" ref="AT53" ca="1">IF($B53="","",IF(ISBLANK(INDIRECT("R9.Web!D"&amp;SUM(18,38*10,34))),"",INDIRECT("R9.Web!D"&amp;SUM(18,38*10,34))))</f>
        <v/>
      </c>
      <c r="AU53" s="215" t="str" cm="1">
        <f t="array" aca="1" ref="AU53" ca="1">IF($B53="","",IF(ISBLANK(INDIRECT("R9.Web!D"&amp;SUM(18,38*11,34))),"",INDIRECT("R9.Web!D"&amp;SUM(18,38*11,34))))</f>
        <v/>
      </c>
      <c r="AV53" s="215" t="str" cm="1">
        <f t="array" aca="1" ref="AV53" ca="1">IF($B53="","",IF(ISBLANK(INDIRECT("R9.Web!D"&amp;SUM(18,38*12,34))),"",INDIRECT("R9.Web!D"&amp;SUM(18,38*12,34))))</f>
        <v/>
      </c>
      <c r="AW53" s="215" t="str" cm="1">
        <f t="array" aca="1" ref="AW53" ca="1">IF($B53="","",IF(ISBLANK(INDIRECT("R9.Web!D"&amp;SUM(18,38*13,34))),"",INDIRECT("R9.Web!D"&amp;SUM(18,38*13,34))))</f>
        <v/>
      </c>
      <c r="AX53" s="215" t="str" cm="1">
        <f t="array" aca="1" ref="AX53" ca="1">IF($B53="","",IF(ISBLANK(INDIRECT("R9.Web!D"&amp;SUM(18,38*14,34))),"",INDIRECT("R9.Web!D"&amp;SUM(18,38*14,34))))</f>
        <v/>
      </c>
      <c r="AY53" s="215" t="str" cm="1">
        <f t="array" aca="1" ref="AY53" ca="1">IF($B53="","",IF(ISBLANK(INDIRECT("R9.Web!D"&amp;SUM(18,38*15,34))),"",INDIRECT("R9.Web!D"&amp;SUM(18,38*15,34))))</f>
        <v/>
      </c>
      <c r="AZ53" s="215" t="str" cm="1">
        <f t="array" aca="1" ref="AZ53" ca="1">IF($B53="","",IF(ISBLANK(INDIRECT("R9.Web!D"&amp;SUM(18,38*16,34))),"",INDIRECT("R9.Web!D"&amp;SUM(18,38*16,34))))</f>
        <v/>
      </c>
      <c r="BA53" s="215" t="str" cm="1">
        <f t="array" aca="1" ref="BA53" ca="1">IF($B53="","",IF(ISBLANK(INDIRECT("R9.Web!D"&amp;SUM(18,38*17,34))),"",INDIRECT("R9.Web!D"&amp;SUM(18,38*17,34))))</f>
        <v/>
      </c>
      <c r="BB53" s="215" t="str" cm="1">
        <f t="array" aca="1" ref="BB53" ca="1">IF($B53="","",IF(ISBLANK(INDIRECT("R9.Web!D"&amp;SUM(18,38*18,34))),"",INDIRECT("R9.Web!D"&amp;SUM(18,38*18,34))))</f>
        <v/>
      </c>
      <c r="BC53" s="215" t="str" cm="1">
        <f t="array" aca="1" ref="BC53" ca="1">IF($B53="","",IF(ISBLANK(INDIRECT("R9.Web!D"&amp;SUM(18,38*19,34))),"",INDIRECT("R9.Web!D"&amp;SUM(18,38*19,34))))</f>
        <v/>
      </c>
      <c r="BD53" s="215" t="str" cm="1">
        <f t="array" aca="1" ref="BD53" ca="1">IF($B53="","",IF(ISBLANK(INDIRECT("R9.Web!D"&amp;SUM(18,38*20,34))),"",INDIRECT("R9.Web!D"&amp;SUM(18,38*20,34))))</f>
        <v/>
      </c>
      <c r="BE53" s="215" t="str" cm="1">
        <f t="array" aca="1" ref="BE53" ca="1">IF($B53="","",IF(ISBLANK(INDIRECT("R9.Web!D"&amp;SUM(18,38*21,34))),"",INDIRECT("R9.Web!D"&amp;SUM(18,38*21,34))))</f>
        <v/>
      </c>
      <c r="BF53" s="215" t="str" cm="1">
        <f t="array" aca="1" ref="BF53" ca="1">IF($B53="","",IF(ISBLANK(INDIRECT("R9.Web!D"&amp;SUM(18,38*22,34))),"",INDIRECT("R9.Web!D"&amp;SUM(18,38*22,34))))</f>
        <v/>
      </c>
      <c r="BG53" s="215" t="str" cm="1">
        <f t="array" aca="1" ref="BG53" ca="1">IF($B53="","",IF(ISBLANK(INDIRECT("R9.Web!D"&amp;SUM(18,38*23,34))),"",INDIRECT("R9.Web!D"&amp;SUM(18,38*23,34))))</f>
        <v/>
      </c>
      <c r="BH53" s="215" t="str" cm="1">
        <f t="array" aca="1" ref="BH53" ca="1">IF($B53="","",IF(ISBLANK(INDIRECT("R9.Web!D"&amp;SUM(18,38*24,34))),"",INDIRECT("R9.Web!D"&amp;SUM(18,38*24,34))))</f>
        <v/>
      </c>
      <c r="BI53" s="215" t="str" cm="1">
        <f t="array" aca="1" ref="BI53" ca="1">IF($B53="","",IF(ISBLANK(INDIRECT("R9.Web!D"&amp;SUM(18,38*25,34))),"",INDIRECT("R9.Web!D"&amp;SUM(18,38*25,34))))</f>
        <v/>
      </c>
      <c r="BJ53" s="215" t="str" cm="1">
        <f t="array" aca="1" ref="BJ53" ca="1">IF($B53="","",IF(ISBLANK(INDIRECT("R9.Web!D"&amp;SUM(18,38*26,34))),"",INDIRECT("R9.Web!D"&amp;SUM(18,38*26,34))))</f>
        <v/>
      </c>
      <c r="BK53" s="215" t="str" cm="1">
        <f t="array" aca="1" ref="BK53" ca="1">IF($B53="","",IF(ISBLANK(INDIRECT("R9.Web!D"&amp;SUM(18,38*27,34))),"",INDIRECT("R9.Web!D"&amp;SUM(18,38*27,34))))</f>
        <v/>
      </c>
      <c r="BL53" s="215" t="str" cm="1">
        <f t="array" aca="1" ref="BL53" ca="1">IF($B53="","",IF(ISBLANK(INDIRECT("R9.Web!D"&amp;SUM(18,38*28,34))),"",INDIRECT("R9.Web!D"&amp;SUM(18,38*28,34))))</f>
        <v/>
      </c>
      <c r="BM53" s="215" t="str" cm="1">
        <f t="array" aca="1" ref="BM53" ca="1">IF($B53="","",IF(ISBLANK(INDIRECT("R9.Web!D"&amp;SUM(18,38*29,34))),"",INDIRECT("R9.Web!D"&amp;SUM(18,38*29,34))))</f>
        <v/>
      </c>
      <c r="BN53" s="215" t="str" cm="1">
        <f t="array" aca="1" ref="BN53" ca="1">IF($B53="","",IF(ISBLANK(INDIRECT("R9.Web!D"&amp;SUM(18,38*30,34))),"",INDIRECT("R9.Web!D"&amp;SUM(18,38*30,34))))</f>
        <v/>
      </c>
      <c r="BO53" s="215" t="str" cm="1">
        <f t="array" aca="1" ref="BO53" ca="1">IF($B53="","",IF(ISBLANK(INDIRECT("R9.Web!D"&amp;SUM(18,38*31,34))),"",INDIRECT("R9.Web!D"&amp;SUM(18,38*31,34))))</f>
        <v/>
      </c>
      <c r="BP53" s="215" t="str" cm="1">
        <f t="array" aca="1" ref="BP53" ca="1">IF($B53="","",IF(ISBLANK(INDIRECT("R9.Web!D"&amp;SUM(18,38*32,34))),"",INDIRECT("R9.Web!D"&amp;SUM(18,38*32,34))))</f>
        <v/>
      </c>
      <c r="BQ53" s="215" t="str" cm="1">
        <f t="array" aca="1" ref="BQ53" ca="1">IF($B53="","",IF(ISBLANK(INDIRECT("R9.Web!D"&amp;SUM(18,38*33,34))),"",INDIRECT("R9.Web!D"&amp;SUM(18,38*33,34))))</f>
        <v/>
      </c>
      <c r="BR53" s="215" t="str" cm="1">
        <f t="array" aca="1" ref="BR53" ca="1">IF($B53="","",IF(ISBLANK(INDIRECT("R9.Web!D"&amp;SUM(18,38*34,34))),"",INDIRECT("R9.Web!D"&amp;SUM(18,38*34,34))))</f>
        <v/>
      </c>
      <c r="BS53" s="215" t="str" cm="1">
        <f t="array" aca="1" ref="BS53" ca="1">IF($B53="","",IF(ISBLANK(INDIRECT("R9.Web!D"&amp;SUM(18,38*35,34))),"",INDIRECT("R9.Web!D"&amp;SUM(18,38*35,34))))</f>
        <v/>
      </c>
      <c r="BT53" s="215" t="str" cm="1">
        <f t="array" aca="1" ref="BT53" ca="1">IF($B53="","",IF(ISBLANK(INDIRECT("R9.Web!D"&amp;SUM(18,38*36,34))),"",INDIRECT("R9.Web!D"&amp;SUM(18,38*36,34))))</f>
        <v/>
      </c>
      <c r="BU53" s="215" t="str" cm="1">
        <f t="array" aca="1" ref="BU53" ca="1">IF($B53="","",IF(ISBLANK(INDIRECT("R9.Web!D"&amp;SUM(18,38*37,34))),"",INDIRECT("R9.Web!D"&amp;SUM(18,38*37,34))))</f>
        <v/>
      </c>
      <c r="BV53" s="215" t="str" cm="1">
        <f t="array" aca="1" ref="BV53" ca="1">IF($B53="","",IF(ISBLANK(INDIRECT("R9.Web!D"&amp;SUM(18,38*38,34))),"",INDIRECT("R9.Web!D"&amp;SUM(18,38*38,34))))</f>
        <v/>
      </c>
      <c r="BW53" s="215" t="str" cm="1">
        <f t="array" aca="1" ref="BW53" ca="1">IF($B53="","",IF(ISBLANK(INDIRECT("R9.Web!D"&amp;SUM(18,38*39,34))),"",INDIRECT("R9.Web!D"&amp;SUM(18,38*39,34))))</f>
        <v/>
      </c>
      <c r="BX53" s="215" t="str" cm="1">
        <f t="array" aca="1" ref="BX53" ca="1">IF($B53="","",IF(ISBLANK(INDIRECT("R9.Web!D"&amp;SUM(18,38*40,34))),"",INDIRECT("R9.Web!D"&amp;SUM(18,38*40,34))))</f>
        <v/>
      </c>
      <c r="BY53" s="215" t="str" cm="1">
        <f t="array" aca="1" ref="BY53" ca="1">IF($B53="","",IF(ISBLANK(INDIRECT("R9.Web!D"&amp;SUM(18,38*41,34))),"",INDIRECT("R9.Web!D"&amp;SUM(18,38*41,34))))</f>
        <v/>
      </c>
      <c r="BZ53" s="215" t="str" cm="1">
        <f t="array" aca="1" ref="BZ53" ca="1">IF($B53="","",IF(ISBLANK(INDIRECT("R9.Web!D"&amp;SUM(18,38*42,34))),"",INDIRECT("R9.Web!D"&amp;SUM(18,38*42,34))))</f>
        <v/>
      </c>
      <c r="CA53" s="215" t="str" cm="1">
        <f t="array" aca="1" ref="CA53" ca="1">IF($B53="","",IF(ISBLANK(INDIRECT("R9.Web!D"&amp;SUM(18,38*43,34))),"",INDIRECT("R9.Web!D"&amp;SUM(18,38*43,34))))</f>
        <v/>
      </c>
      <c r="CB53" s="215" t="str" cm="1">
        <f t="array" aca="1" ref="CB53" ca="1">IF($B53="","",IF(ISBLANK(INDIRECT("R9.Web!D"&amp;SUM(18,38*44,34))),"",INDIRECT("R9.Web!D"&amp;SUM(18,38*44,34))))</f>
        <v/>
      </c>
      <c r="CC53" s="215" t="str" cm="1">
        <f t="array" aca="1" ref="CC53" ca="1">IF($B53="","",IF(ISBLANK(INDIRECT("R9.Web!D"&amp;SUM(18,38*45,34))),"",INDIRECT("R9.Web!D"&amp;SUM(18,38*45,34))))</f>
        <v/>
      </c>
      <c r="CD53" s="215" t="str" cm="1">
        <f t="array" aca="1" ref="CD53" ca="1">IF($B53="","",IF(ISBLANK(INDIRECT("R9.Web!D"&amp;SUM(18,38*46,34))),"",INDIRECT("R9.Web!D"&amp;SUM(18,38*46,34))))</f>
        <v/>
      </c>
      <c r="CE53" s="215" t="str" cm="1">
        <f t="array" aca="1" ref="CE53" ca="1">IF($B53="","",IF(ISBLANK(INDIRECT("R9.Web!D"&amp;SUM(18,38*47,34))),"",INDIRECT("R9.Web!D"&amp;SUM(18,38*47,34))))</f>
        <v/>
      </c>
      <c r="CF53" s="215" t="str" cm="1">
        <f t="array" aca="1" ref="CF53" ca="1">IF($B53="","",IF(ISBLANK(INDIRECT("R9.Web!D"&amp;SUM(18,38*48,34))),"",INDIRECT("R9.Web!D"&amp;SUM(18,38*48,34))))</f>
        <v/>
      </c>
      <c r="CG53" s="215" t="str" cm="1">
        <f t="array" aca="1" ref="CG53" ca="1">IF($B53="","",IF(ISBLANK(INDIRECT("R9.Web!D"&amp;SUM(18,38*49,34))),"",INDIRECT("R9.Web!D"&amp;SUM(18,38*49,34))))</f>
        <v/>
      </c>
      <c r="CH53" s="215" t="str" cm="1">
        <f t="array" aca="1" ref="CH53" ca="1">IF($B53="","",IF(ISBLANK(INDIRECT("R11.Software!D"&amp;SUM(18,38*0,34))),"",INDIRECT("R11.Software!D"&amp;SUM(18,38*0,34))))</f>
        <v/>
      </c>
      <c r="CI53" s="215" t="str" cm="1">
        <f t="array" aca="1" ref="CI53" ca="1">IF($B53="","",IF(ISBLANK(INDIRECT("R11.Software!D"&amp;SUM(18,38*1,34))),"",INDIRECT("R11.Software!D"&amp;SUM(18,38*1,34))))</f>
        <v/>
      </c>
      <c r="CJ53" s="215" t="str" cm="1">
        <f t="array" aca="1" ref="CJ53" ca="1">IF($B53="","",IF(ISBLANK(INDIRECT("R11.Software!D"&amp;SUM(18,38*2,34))),"",INDIRECT("R11.Software!D"&amp;SUM(18,38*2,34))))</f>
        <v/>
      </c>
      <c r="CK53" s="215" t="str" cm="1">
        <f t="array" aca="1" ref="CK53" ca="1">IF($B53="","",IF(ISBLANK(INDIRECT("R11.Software!D"&amp;SUM(18,38*3,34))),"",INDIRECT("R11.Software!D"&amp;SUM(18,38*3,34))))</f>
        <v/>
      </c>
      <c r="CL53" s="215" t="str" cm="1">
        <f t="array" aca="1" ref="CL53" ca="1">IF($B53="","",IF(ISBLANK(INDIRECT("R11.Software!D"&amp;SUM(18,38*4,34))),"",INDIRECT("R11.Software!D"&amp;SUM(18,38*4,34))))</f>
        <v/>
      </c>
      <c r="CM53" s="215" t="str" cm="1">
        <f t="array" aca="1" ref="CM53" ca="1">IF($B53="","",IF(ISBLANK(INDIRECT("R11.Software!D"&amp;SUM(18,38*5,34))),"",INDIRECT("R11.Software!D"&amp;SUM(18,38*5,34))))</f>
        <v/>
      </c>
      <c r="CN53" s="215" t="str" cm="1">
        <f t="array" aca="1" ref="CN53" ca="1">IF($B53="","",IF(ISBLANK(INDIRECT("R12.ServiciosApoyo!D"&amp;SUM(18,38*0,34))),"",INDIRECT("R12.ServiciosApoyo!D"&amp;SUM(18,38*0,34))))</f>
        <v/>
      </c>
      <c r="CO53" s="215" t="str" cm="1">
        <f t="array" aca="1" ref="CO53" ca="1">IF($B53="","",IF(ISBLANK(INDIRECT("R12.ServiciosApoyo!D"&amp;SUM(18,38*1,34))),"",INDIRECT("R12.ServiciosApoyo!D"&amp;SUM(18,38*1,34))))</f>
        <v/>
      </c>
      <c r="CP53" s="215" t="str" cm="1">
        <f t="array" aca="1" ref="CP53" ca="1">IF($B53="","",IF(ISBLANK(INDIRECT("R12.ServiciosApoyo!D"&amp;SUM(18,38*2,34))),"",INDIRECT("R12.ServiciosApoyo!D"&amp;SUM(18,38*2,34))))</f>
        <v/>
      </c>
      <c r="CQ53" s="215" t="str" cm="1">
        <f t="array" aca="1" ref="CQ53" ca="1">IF($B53="","",IF(ISBLANK(INDIRECT("R12.ServiciosApoyo!D"&amp;SUM(18,38*3,34))),"",INDIRECT("R12.ServiciosApoyo!D"&amp;SUM(18,38*3,34))))</f>
        <v/>
      </c>
      <c r="CR53" s="215" t="str" cm="1">
        <f t="array" aca="1" ref="CR53" ca="1">IF($B53="","",IF(ISBLANK(INDIRECT("R12.ServiciosApoyo!D"&amp;SUM(18,38*4,34))),"",INDIRECT("R12.ServiciosApoyo!D"&amp;SUM(18,38*4,34))))</f>
        <v/>
      </c>
      <c r="CU53" s="100"/>
      <c r="CV53" s="29"/>
      <c r="CW53" s="29"/>
      <c r="CX53" s="29"/>
    </row>
    <row r="54" spans="2:102" ht="20.25">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361</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EN CURSO</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EN CURSO</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EN CURSO</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EN CURSO</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EN CURSO</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EN CURSO</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EN CURSO</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EN CURSO</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EN CURSO</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EN CURSO</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EN CURSO</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EN CURSO</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EN CURSO</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EN CURSO</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EN CURSO</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EN CURSO</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EN CURSO</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EN CURSO</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EN CURSO</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EN CURSO</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EN CURSO</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EN CURSO</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EN CURSO</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EN CURSO</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EN CURSO</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EN CURSO</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EN CURSO</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EN CURSO</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EN CURSO</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EN CURSO</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EN CURSO</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EN CURSO</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EN CURSO</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EN CURSO</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EN CURSO</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EN CURSO</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EN CURSO</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EN CURSO</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EN CURSO</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EN CURSO</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EN CURSO</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EN CURSO</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EN CURSO</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EN CURSO</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EN CURSO</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EN CURSO</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EN CURSO</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EN CURSO</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EN CURSO</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EN CURSO</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EN CURSO</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EN CURSO</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EN CURSO</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EN CURSO</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EN CURSO</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EN CURSO</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EN CURSO</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EN CURSO</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EN CURSO</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EN CURSO</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EN CURSO</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EN CURSO</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EN CURSO</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EN CURSO</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EN CURSO</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EN CURSO</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EN CURSO</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EN CURSO</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EN CURSO</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EN CURSO</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EN CURSO</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EN CURSO</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EN CURSO</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EN CURSO</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EN CURSO</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EN CURSO</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EN CURSO</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EN CURSO</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EN CURSO</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EN CURSO</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EN CURSO</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EN CURSO</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EN CURSO</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EN CURSO</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EN CURSO</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EN CURSO</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EN CURSO</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EN CURSO</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EN CURSO</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EN CURSO</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EN CURSO</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EN CURSO</v>
      </c>
      <c r="CU55" s="29"/>
      <c r="CV55" s="29"/>
      <c r="CW55" s="29"/>
      <c r="CX55" s="29"/>
    </row>
    <row r="56" spans="2:102" ht="20.2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88" t="s">
        <v>154</v>
      </c>
      <c r="C58" s="288"/>
      <c r="D58" s="288"/>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2" t="s">
        <v>50</v>
      </c>
      <c r="C59" s="283"/>
      <c r="D59" s="284"/>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268</v>
      </c>
      <c r="C60" s="96" t="s">
        <v>129</v>
      </c>
      <c r="D60" s="96" t="s">
        <v>362</v>
      </c>
      <c r="E60" s="96" t="s">
        <v>197</v>
      </c>
      <c r="F60" s="96" t="s">
        <v>198</v>
      </c>
      <c r="G60" s="96" t="s">
        <v>199</v>
      </c>
      <c r="H60" s="96" t="s">
        <v>200</v>
      </c>
      <c r="I60" s="96" t="s">
        <v>201</v>
      </c>
      <c r="J60" s="96" t="s">
        <v>202</v>
      </c>
      <c r="K60" s="96" t="s">
        <v>203</v>
      </c>
      <c r="L60" s="96" t="s">
        <v>204</v>
      </c>
      <c r="M60" s="96" t="s">
        <v>205</v>
      </c>
      <c r="N60" s="96" t="s">
        <v>206</v>
      </c>
      <c r="O60" s="96" t="s">
        <v>207</v>
      </c>
      <c r="P60" s="96" t="s">
        <v>208</v>
      </c>
      <c r="Q60" s="96" t="s">
        <v>209</v>
      </c>
      <c r="R60" s="96" t="s">
        <v>210</v>
      </c>
      <c r="S60" s="96" t="s">
        <v>211</v>
      </c>
      <c r="T60" s="96" t="s">
        <v>212</v>
      </c>
      <c r="U60" s="96" t="s">
        <v>213</v>
      </c>
      <c r="V60" s="96" t="s">
        <v>214</v>
      </c>
      <c r="W60" s="96" t="s">
        <v>215</v>
      </c>
      <c r="X60" s="96" t="s">
        <v>216</v>
      </c>
      <c r="Y60" s="96" t="s">
        <v>217</v>
      </c>
      <c r="Z60" s="96" t="s">
        <v>218</v>
      </c>
      <c r="AA60" s="96" t="s">
        <v>219</v>
      </c>
      <c r="AB60" s="96" t="s">
        <v>220</v>
      </c>
      <c r="AC60" s="96" t="s">
        <v>221</v>
      </c>
      <c r="AD60" s="96" t="s">
        <v>240</v>
      </c>
      <c r="AE60" s="96" t="s">
        <v>222</v>
      </c>
      <c r="AF60" s="96" t="s">
        <v>223</v>
      </c>
      <c r="AG60" s="96" t="s">
        <v>224</v>
      </c>
      <c r="AH60" s="96" t="s">
        <v>225</v>
      </c>
      <c r="AI60" s="96" t="s">
        <v>226</v>
      </c>
      <c r="AJ60" s="96" t="s">
        <v>227</v>
      </c>
      <c r="AK60" s="96" t="s">
        <v>228</v>
      </c>
      <c r="AL60" s="96" t="s">
        <v>229</v>
      </c>
      <c r="AM60" s="96" t="s">
        <v>230</v>
      </c>
      <c r="AN60" s="96" t="s">
        <v>239</v>
      </c>
      <c r="AO60" s="96" t="s">
        <v>231</v>
      </c>
      <c r="AP60" s="96" t="s">
        <v>232</v>
      </c>
      <c r="AQ60" s="96" t="s">
        <v>233</v>
      </c>
      <c r="AR60" s="96" t="s">
        <v>234</v>
      </c>
      <c r="AS60" s="96" t="s">
        <v>235</v>
      </c>
      <c r="AT60" s="96" t="s">
        <v>236</v>
      </c>
      <c r="AU60" s="96" t="s">
        <v>237</v>
      </c>
      <c r="AV60" s="96" t="s">
        <v>238</v>
      </c>
      <c r="AW60" s="96" t="s">
        <v>351</v>
      </c>
    </row>
    <row r="61" spans="2:102" ht="20.25" customHeight="1">
      <c r="B61" s="181" t="n" cm="1">
        <f t="array" ref="B61">IFERROR(INDEX('03.Muestra'!$B$8:$B$42,SMALL(IF("Documento no web"='03.Muestra'!$D$8:$D$42,ROW('03.Muestra'!$B$8:$B$42)-MIN(ROW('03.Muestra'!$D$8:$D$42))+1,""),ROW()-60)),"")</f>
        <v>1.0</v>
      </c>
      <c r="C61" s="97" t="str" cm="1">
        <f t="array" ref="C61">IFERROR(INDEX('03.Muestra'!$C$8:$C$42,SMALL(IF("Documento no web"='03.Muestra'!$D$8:$D$42,ROW('03.Muestra'!$C$8:$C$42)-MIN(ROW('03.Muestra'!$D$8:$D$42))+1,""),ROW()-60)),"")</f>
        <v>Home - PortCastelló</v>
      </c>
      <c r="D61" s="98" t="str" cm="1">
        <f t="array" ref="D61">IFERROR(INDEX('03.Muestra'!$F$8:$F$42,SMALL(IF("Documento no web"='03.Muestra'!$D$8:$D$42,ROW('03.Muestra'!$F$8:$F$42)-MIN(ROW('03.Muestra'!$D$8:$D$42))+1,""),ROW()-60)),"")</f>
        <v>https://www.portcastello.com/</v>
      </c>
      <c r="E61" s="99" t="str" cm="1">
        <f t="array" aca="1" ref="E61" ca="1">IF($B61="","",IF(ISBLANK(INDIRECT("'R10.Documentos no web'!D"&amp;SUM(18,38*0,1))),"",INDIRECT("'R10.Documentos no web'!D"&amp;SUM(18,38*0,1))))</f>
        <v>N/D</v>
      </c>
      <c r="F61" s="99" t="str" cm="1">
        <f t="array" aca="1" ref="F61" ca="1">IF($B61="","",IF(ISBLANK(INDIRECT("'R10.Documentos no web'!D"&amp;SUM(18,38*1,1))),"",INDIRECT("'R10.Documentos no web'!D"&amp;SUM(18,38*1,1))))</f>
        <v>N/T</v>
      </c>
      <c r="G61" s="99" t="str" cm="1">
        <f t="array" aca="1" ref="G61" ca="1">IF($B61="","",IF(ISBLANK(INDIRECT("'R10.Documentos no web'!D"&amp;SUM(18,38*2,1))),"",INDIRECT("'R10.Documentos no web'!D"&amp;SUM(18,38*2,1))))</f>
        <v>N/T</v>
      </c>
      <c r="H61" s="99" t="str" cm="1">
        <f t="array" aca="1" ref="H61" ca="1">IF($B61="","",IF(ISBLANK(INDIRECT("'R10.Documentos no web'!D"&amp;SUM(18,38*3,1))),"",INDIRECT("'R10.Documentos no web'!D"&amp;SUM(18,38*3,1))))</f>
        <v>N/T</v>
      </c>
      <c r="I61" s="99" t="str" cm="1">
        <f t="array" aca="1" ref="I61" ca="1">IF($B61="","",IF(ISBLANK(INDIRECT("'R10.Documentos no web'!D"&amp;SUM(18,38*4,1))),"",INDIRECT("'R10.Documentos no web'!D"&amp;SUM(18,38*4,1))))</f>
        <v>N/T</v>
      </c>
      <c r="J61" s="99" t="str" cm="1">
        <f t="array" aca="1" ref="J61" ca="1">IF($B61="","",IF(ISBLANK(INDIRECT("'R10.Documentos no web'!D"&amp;SUM(18,38*5,1))),"",INDIRECT("'R10.Documentos no web'!D"&amp;SUM(18,38*5,1))))</f>
        <v>Falla</v>
      </c>
      <c r="K61" s="99" t="str" cm="1">
        <f t="array" aca="1" ref="K61" ca="1">IF($B61="","",IF(ISBLANK(INDIRECT("'R10.Documentos no web'!D"&amp;SUM(18,38*6,1))),"",INDIRECT("'R10.Documentos no web'!D"&amp;SUM(18,38*6,1))))</f>
        <v>N/T</v>
      </c>
      <c r="L61" s="99" t="str" cm="1">
        <f t="array" aca="1" ref="L61" ca="1">IF($B61="","",IF(ISBLANK(INDIRECT("'R10.Documentos no web'!D"&amp;SUM(18,38*7,1))),"",INDIRECT("'R10.Documentos no web'!D"&amp;SUM(18,38*7,1))))</f>
        <v>N/T</v>
      </c>
      <c r="M61" s="99" t="str" cm="1">
        <f t="array" aca="1" ref="M61" ca="1">IF($B61="","",IF(ISBLANK(INDIRECT("'R10.Documentos no web'!D"&amp;SUM(18,38*8,1))),"",INDIRECT("'R10.Documentos no web'!D"&amp;SUM(18,38*8,1))))</f>
        <v>N/T</v>
      </c>
      <c r="N61" s="99" t="str" cm="1">
        <f t="array" aca="1" ref="N61" ca="1">IF($B61="","",IF(ISBLANK(INDIRECT("'R10.Documentos no web'!D"&amp;SUM(18,38*9,1))),"",INDIRECT("'R10.Documentos no web'!D"&amp;SUM(18,38*9,1))))</f>
        <v>N/T</v>
      </c>
      <c r="O61" s="99" t="str" cm="1">
        <f t="array" aca="1" ref="O61" ca="1">IF($B61="","",IF(ISBLANK(INDIRECT("'R10.Documentos no web'!D"&amp;SUM(18,38*10,1))),"",INDIRECT("'R10.Documentos no web'!D"&amp;SUM(18,38*10,1))))</f>
        <v>N/T</v>
      </c>
      <c r="P61" s="99" t="str" cm="1">
        <f t="array" aca="1" ref="P61" ca="1">IF($B61="","",IF(ISBLANK(INDIRECT("'R10.Documentos no web'!D"&amp;SUM(18,38*11,1))),"",INDIRECT("'R10.Documentos no web'!D"&amp;SUM(18,38*11,1))))</f>
        <v>N/T</v>
      </c>
      <c r="Q61" s="99" t="str" cm="1">
        <f t="array" aca="1" ref="Q61" ca="1">IF($B61="","",IF(ISBLANK(INDIRECT("'R10.Documentos no web'!D"&amp;SUM(18,38*12,1))),"",INDIRECT("'R10.Documentos no web'!D"&amp;SUM(18,38*12,1))))</f>
        <v>N/T</v>
      </c>
      <c r="R61" s="99" t="str" cm="1">
        <f t="array" aca="1" ref="R61" ca="1">IF($B61="","",IF(ISBLANK(INDIRECT("'R10.Documentos no web'!D"&amp;SUM(18,38*13,1))),"",INDIRECT("'R10.Documentos no web'!D"&amp;SUM(18,38*13,1))))</f>
        <v>N/T</v>
      </c>
      <c r="S61" s="99" t="str" cm="1">
        <f t="array" aca="1" ref="S61" ca="1">IF($B61="","",IF(ISBLANK(INDIRECT("'R10.Documentos no web'!D"&amp;SUM(18,38*14,1))),"",INDIRECT("'R10.Documentos no web'!D"&amp;SUM(18,38*14,1))))</f>
        <v>N/T</v>
      </c>
      <c r="T61" s="99" t="str" cm="1">
        <f t="array" aca="1" ref="T61" ca="1">IF($B61="","",IF(ISBLANK(INDIRECT("'R10.Documentos no web'!D"&amp;SUM(18,38*15,1))),"",INDIRECT("'R10.Documentos no web'!D"&amp;SUM(18,38*15,1))))</f>
        <v>N/T</v>
      </c>
      <c r="U61" s="99" t="str" cm="1">
        <f t="array" aca="1" ref="U61" ca="1">IF($B61="","",IF(ISBLANK(INDIRECT("'R10.Documentos no web'!D"&amp;SUM(18,38*16,1))),"",INDIRECT("'R10.Documentos no web'!D"&amp;SUM(18,38*16,1))))</f>
        <v>N/T</v>
      </c>
      <c r="V61" s="99" t="str" cm="1">
        <f t="array" aca="1" ref="V61" ca="1">IF($B61="","",IF(ISBLANK(INDIRECT("'R10.Documentos no web'!D"&amp;SUM(18,38*17,1))),"",INDIRECT("'R10.Documentos no web'!D"&amp;SUM(18,38*17,1))))</f>
        <v>N/T</v>
      </c>
      <c r="W61" s="99" t="str" cm="1">
        <f t="array" aca="1" ref="W61" ca="1">IF($B61="","",IF(ISBLANK(INDIRECT("'R10.Documentos no web'!D"&amp;SUM(18,38*18,1))),"",INDIRECT("'R10.Documentos no web'!D"&amp;SUM(18,38*18,1))))</f>
        <v>N/T</v>
      </c>
      <c r="X61" s="99" t="str" cm="1">
        <f t="array" aca="1" ref="X61" ca="1">IF($B61="","",IF(ISBLANK(INDIRECT("'R10.Documentos no web'!D"&amp;SUM(18,38*19,1))),"",INDIRECT("'R10.Documentos no web'!D"&amp;SUM(18,38*19,1))))</f>
        <v>N/T</v>
      </c>
      <c r="Y61" s="99" t="str" cm="1">
        <f t="array" aca="1" ref="Y61" ca="1">IF($B61="","",IF(ISBLANK(INDIRECT("'R10.Documentos no web'!D"&amp;SUM(18,38*20,1))),"",INDIRECT("'R10.Documentos no web'!D"&amp;SUM(18,38*20,1))))</f>
        <v>N/T</v>
      </c>
      <c r="Z61" s="99" t="str" cm="1">
        <f t="array" aca="1" ref="Z61" ca="1">IF($B61="","",IF(ISBLANK(INDIRECT("'R10.Documentos no web'!D"&amp;SUM(18,38*21,1))),"",INDIRECT("'R10.Documentos no web'!D"&amp;SUM(18,38*21,1))))</f>
        <v>N/T</v>
      </c>
      <c r="AA61" s="99" t="str" cm="1">
        <f t="array" aca="1" ref="AA61" ca="1">IF($B61="","",IF(ISBLANK(INDIRECT("'R10.Documentos no web'!D"&amp;SUM(18,38*22,1))),"",INDIRECT("'R10.Documentos no web'!D"&amp;SUM(18,38*22,1))))</f>
        <v>N/T</v>
      </c>
      <c r="AB61" s="99" t="str" cm="1">
        <f t="array" aca="1" ref="AB61" ca="1">IF($B61="","",IF(ISBLANK(INDIRECT("'R10.Documentos no web'!D"&amp;SUM(18,38*23,1))),"",INDIRECT("'R10.Documentos no web'!D"&amp;SUM(18,38*23,1))))</f>
        <v>N/T</v>
      </c>
      <c r="AC61" s="99" t="str" cm="1">
        <f t="array" aca="1" ref="AC61" ca="1">IF($B61="","",IF(ISBLANK(INDIRECT("'R10.Documentos no web'!D"&amp;SUM(18,38*24,1))),"",INDIRECT("'R10.Documentos no web'!D"&amp;SUM(18,38*24,1))))</f>
        <v>N/T</v>
      </c>
      <c r="AD61" s="99" t="str" cm="1">
        <f t="array" aca="1" ref="AD61" ca="1">IF($B61="","",IF(ISBLANK(INDIRECT("'R10.Documentos no web'!D"&amp;SUM(18,38*25,1))),"",INDIRECT("'R10.Documentos no web'!D"&amp;SUM(18,38*25,1))))</f>
        <v>N/D</v>
      </c>
      <c r="AE61" s="99" t="str" cm="1">
        <f t="array" aca="1" ref="AE61" ca="1">IF($B61="","",IF(ISBLANK(INDIRECT("'R10.Documentos no web'!D"&amp;SUM(18,38*26,1))),"",INDIRECT("'R10.Documentos no web'!D"&amp;SUM(18,38*26,1))))</f>
        <v>N/T</v>
      </c>
      <c r="AF61" s="99" t="str" cm="1">
        <f t="array" aca="1" ref="AF61" ca="1">IF($B61="","",IF(ISBLANK(INDIRECT("'R10.Documentos no web'!D"&amp;SUM(18,38*27,1))),"",INDIRECT("'R10.Documentos no web'!D"&amp;SUM(18,38*27,1))))</f>
        <v>N/T</v>
      </c>
      <c r="AG61" s="99" t="str" cm="1">
        <f t="array" aca="1" ref="AG61" ca="1">IF($B61="","",IF(ISBLANK(INDIRECT("'R10.Documentos no web'!D"&amp;SUM(18,38*28,1))),"",INDIRECT("'R10.Documentos no web'!D"&amp;SUM(18,38*28,1))))</f>
        <v>N/T</v>
      </c>
      <c r="AH61" s="99" t="str" cm="1">
        <f t="array" aca="1" ref="AH61" ca="1">IF($B61="","",IF(ISBLANK(INDIRECT("'R10.Documentos no web'!D"&amp;SUM(18,38*29,1))),"",INDIRECT("'R10.Documentos no web'!D"&amp;SUM(18,38*29,1))))</f>
        <v>N/T</v>
      </c>
      <c r="AI61" s="99" t="str" cm="1">
        <f t="array" aca="1" ref="AI61" ca="1">IF($B61="","",IF(ISBLANK(INDIRECT("'R10.Documentos no web'!D"&amp;SUM(18,38*30,1))),"",INDIRECT("'R10.Documentos no web'!D"&amp;SUM(18,38*30,1))))</f>
        <v>N/T</v>
      </c>
      <c r="AJ61" s="99" t="str" cm="1">
        <f t="array" aca="1" ref="AJ61" ca="1">IF($B61="","",IF(ISBLANK(INDIRECT("'R10.Documentos no web'!D"&amp;SUM(18,38*31,1))),"",INDIRECT("'R10.Documentos no web'!D"&amp;SUM(18,38*31,1))))</f>
        <v>N/T</v>
      </c>
      <c r="AK61" s="99" t="str" cm="1">
        <f t="array" aca="1" ref="AK61" ca="1">IF($B61="","",IF(ISBLANK(INDIRECT("'R10.Documentos no web'!D"&amp;SUM(18,38*32,1))),"",INDIRECT("'R10.Documentos no web'!D"&amp;SUM(18,38*32,1))))</f>
        <v>N/T</v>
      </c>
      <c r="AL61" s="99" t="str" cm="1">
        <f t="array" aca="1" ref="AL61" ca="1">IF($B61="","",IF(ISBLANK(INDIRECT("'R10.Documentos no web'!D"&amp;SUM(18,38*33,1))),"",INDIRECT("'R10.Documentos no web'!D"&amp;SUM(18,38*33,1))))</f>
        <v>N/T</v>
      </c>
      <c r="AM61" s="99" t="str" cm="1">
        <f t="array" aca="1" ref="AM61" ca="1">IF($B61="","",IF(ISBLANK(INDIRECT("'R10.Documentos no web'!D"&amp;SUM(18,38*34,1))),"",INDIRECT("'R10.Documentos no web'!D"&amp;SUM(18,38*34,1))))</f>
        <v>N/D</v>
      </c>
      <c r="AN61" s="99" t="str" cm="1">
        <f t="array" aca="1" ref="AN61" ca="1">IF($B61="","",IF(ISBLANK(INDIRECT("'R10.Documentos no web'!D"&amp;SUM(18,38*35,1))),"",INDIRECT("'R10.Documentos no web'!D"&amp;SUM(18,38*35,1))))</f>
        <v>N/T</v>
      </c>
      <c r="AO61" s="99" t="str" cm="1">
        <f t="array" aca="1" ref="AO61" ca="1">IF($B61="","",IF(ISBLANK(INDIRECT("'R10.Documentos no web'!D"&amp;SUM(18,38*36,1))),"",INDIRECT("'R10.Documentos no web'!D"&amp;SUM(18,38*36,1))))</f>
        <v>N/T</v>
      </c>
      <c r="AP61" s="99" t="str" cm="1">
        <f t="array" aca="1" ref="AP61" ca="1">IF($B61="","",IF(ISBLANK(INDIRECT("'R10.Documentos no web'!D"&amp;SUM(18,38*37,1))),"",INDIRECT("'R10.Documentos no web'!D"&amp;SUM(18,38*37,1))))</f>
        <v>N/T</v>
      </c>
      <c r="AQ61" s="99" t="str" cm="1">
        <f t="array" aca="1" ref="AQ61" ca="1">IF($B61="","",IF(ISBLANK(INDIRECT("'R10.Documentos no web'!D"&amp;SUM(18,38*38,1))),"",INDIRECT("'R10.Documentos no web'!D"&amp;SUM(18,38*38,1))))</f>
        <v>N/T</v>
      </c>
      <c r="AR61" s="99" t="str" cm="1">
        <f t="array" aca="1" ref="AR61" ca="1">IF($B61="","",IF(ISBLANK(INDIRECT("'R10.Documentos no web'!D"&amp;SUM(18,38*39,1))),"",INDIRECT("'R10.Documentos no web'!D"&amp;SUM(18,38*39,1))))</f>
        <v>N/T</v>
      </c>
      <c r="AS61" s="99" t="str" cm="1">
        <f t="array" aca="1" ref="AS61" ca="1">IF($B61="","",IF(ISBLANK(INDIRECT("'R10.Documentos no web'!D"&amp;SUM(18,38*40,1))),"",INDIRECT("'R10.Documentos no web'!D"&amp;SUM(18,38*40,1))))</f>
        <v>N/T</v>
      </c>
      <c r="AT61" s="99" t="str" cm="1">
        <f t="array" aca="1" ref="AT61" ca="1">IF($B61="","",IF(ISBLANK(INDIRECT("'R10.Documentos no web'!D"&amp;SUM(18,38*41,1))),"",INDIRECT("'R10.Documentos no web'!D"&amp;SUM(18,38*41,1))))</f>
        <v>N/T</v>
      </c>
      <c r="AU61" s="99" t="str" cm="1">
        <f t="array" aca="1" ref="AU61" ca="1">IF($B61="","",IF(ISBLANK(INDIRECT("'R10.Documentos no web'!D"&amp;SUM(18,38*42,1))),"",INDIRECT("'R10.Documentos no web'!D"&amp;SUM(18,38*42,1))))</f>
        <v>N/T</v>
      </c>
      <c r="AV61" s="99" t="str" cm="1">
        <f t="array" aca="1" ref="AV61" ca="1">IF($B61="","",IF(ISBLANK(INDIRECT("'R10.Documentos no web'!D"&amp;SUM(18,38*43,1))),"",INDIRECT("'R10.Documentos no web'!D"&amp;SUM(18,38*43,1))))</f>
        <v>N/D</v>
      </c>
      <c r="AW61" s="99" t="str" cm="1">
        <f t="array" aca="1" ref="AW61" ca="1">IF($B61="","",IF(ISBLANK(INDIRECT("'R10.Documentos no web'!D"&amp;SUM(18,38*44,1))),"",INDIRECT("'R10.Documentos no web'!D"&amp;SUM(18,38*44,1))))</f>
        <v>N/T</v>
      </c>
    </row>
    <row r="62" spans="2:102" ht="20.25" customHeight="1">
      <c r="B62" s="181" t="n" cm="1">
        <f t="array" ref="B62">IFERROR(INDEX('03.Muestra'!$B$8:$B$42,SMALL(IF("Documento no web"='03.Muestra'!$D$8:$D$42,ROW('03.Muestra'!$B$8:$B$42)-MIN(ROW('03.Muestra'!$D$8:$D$42))+1,""),ROW()-60)),"")</f>
        <v>1.0</v>
      </c>
      <c r="C62" s="97" t="str" cm="1">
        <f t="array" ref="C62">IFERROR(INDEX('03.Muestra'!$C$8:$C$42,SMALL(IF("Documento no web"='03.Muestra'!$D$8:$D$42,ROW('03.Muestra'!$C$8:$C$42)-MIN(ROW('03.Muestra'!$D$8:$D$42))+1,""),ROW()-60)),"")</f>
        <v>Home - PortCastelló</v>
      </c>
      <c r="D62" s="98" t="str" cm="1">
        <f t="array" ref="D62">IFERROR(INDEX('03.Muestra'!$F$8:$F$42,SMALL(IF("Documento no web"='03.Muestra'!$D$8:$D$42,ROW('03.Muestra'!$F$8:$F$42)-MIN(ROW('03.Muestra'!$D$8:$D$42))+1,""),ROW()-60)),"")</f>
        <v>https://www.portcastello.com/</v>
      </c>
      <c r="E62" s="99" t="str" cm="1">
        <f t="array" aca="1" ref="E62" ca="1">IF($B62="","",IF(ISBLANK(INDIRECT("'R10.Documentos no web'!D"&amp;SUM(18,38*0,2))),"",INDIRECT("'R10.Documentos no web'!D"&amp;SUM(18,38*0,2))))</f>
        <v>Falla</v>
      </c>
      <c r="F62" s="99" t="str" cm="1">
        <f t="array" aca="1" ref="F62" ca="1">IF($B62="","",IF(ISBLANK(INDIRECT("'R10.Documentos no web'!D"&amp;SUM(18,38*1,2))),"",INDIRECT("'R10.Documentos no web'!D"&amp;SUM(18,38*1,2))))</f>
        <v>N/T</v>
      </c>
      <c r="G62" s="99" t="str" cm="1">
        <f t="array" aca="1" ref="G62" ca="1">IF($B62="","",IF(ISBLANK(INDIRECT("'R10.Documentos no web'!D"&amp;SUM(18,38*2,2))),"",INDIRECT("'R10.Documentos no web'!D"&amp;SUM(18,38*2,2))))</f>
        <v>N/T</v>
      </c>
      <c r="H62" s="99" t="str" cm="1">
        <f t="array" aca="1" ref="H62" ca="1">IF($B62="","",IF(ISBLANK(INDIRECT("'R10.Documentos no web'!D"&amp;SUM(18,38*3,2))),"",INDIRECT("'R10.Documentos no web'!D"&amp;SUM(18,38*3,2))))</f>
        <v>N/T</v>
      </c>
      <c r="I62" s="99" t="str" cm="1">
        <f t="array" aca="1" ref="I62" ca="1">IF($B62="","",IF(ISBLANK(INDIRECT("'R10.Documentos no web'!D"&amp;SUM(18,38*4,2))),"",INDIRECT("'R10.Documentos no web'!D"&amp;SUM(18,38*4,2))))</f>
        <v>N/T</v>
      </c>
      <c r="J62" s="99" t="str" cm="1">
        <f t="array" aca="1" ref="J62" ca="1">IF($B62="","",IF(ISBLANK(INDIRECT("'R10.Documentos no web'!D"&amp;SUM(18,38*5,2))),"",INDIRECT("'R10.Documentos no web'!D"&amp;SUM(18,38*5,2))))</f>
        <v>Falla</v>
      </c>
      <c r="K62" s="99" t="str" cm="1">
        <f t="array" aca="1" ref="K62" ca="1">IF($B62="","",IF(ISBLANK(INDIRECT("'R10.Documentos no web'!D"&amp;SUM(18,38*6,2))),"",INDIRECT("'R10.Documentos no web'!D"&amp;SUM(18,38*6,2))))</f>
        <v>N/T</v>
      </c>
      <c r="L62" s="99" t="str" cm="1">
        <f t="array" aca="1" ref="L62" ca="1">IF($B62="","",IF(ISBLANK(INDIRECT("'R10.Documentos no web'!D"&amp;SUM(18,38*7,2))),"",INDIRECT("'R10.Documentos no web'!D"&amp;SUM(18,38*7,2))))</f>
        <v>N/T</v>
      </c>
      <c r="M62" s="99" t="str" cm="1">
        <f t="array" aca="1" ref="M62" ca="1">IF($B62="","",IF(ISBLANK(INDIRECT("'R10.Documentos no web'!D"&amp;SUM(18,38*8,2))),"",INDIRECT("'R10.Documentos no web'!D"&amp;SUM(18,38*8,2))))</f>
        <v>N/T</v>
      </c>
      <c r="N62" s="99" t="str" cm="1">
        <f t="array" aca="1" ref="N62" ca="1">IF($B62="","",IF(ISBLANK(INDIRECT("'R10.Documentos no web'!D"&amp;SUM(18,38*9,2))),"",INDIRECT("'R10.Documentos no web'!D"&amp;SUM(18,38*9,2))))</f>
        <v>N/T</v>
      </c>
      <c r="O62" s="99" t="str" cm="1">
        <f t="array" aca="1" ref="O62" ca="1">IF($B62="","",IF(ISBLANK(INDIRECT("'R10.Documentos no web'!D"&amp;SUM(18,38*10,2))),"",INDIRECT("'R10.Documentos no web'!D"&amp;SUM(18,38*10,2))))</f>
        <v>N/T</v>
      </c>
      <c r="P62" s="99" t="str" cm="1">
        <f t="array" aca="1" ref="P62" ca="1">IF($B62="","",IF(ISBLANK(INDIRECT("'R10.Documentos no web'!D"&amp;SUM(18,38*11,2))),"",INDIRECT("'R10.Documentos no web'!D"&amp;SUM(18,38*11,2))))</f>
        <v>N/T</v>
      </c>
      <c r="Q62" s="99" t="str" cm="1">
        <f t="array" aca="1" ref="Q62" ca="1">IF($B62="","",IF(ISBLANK(INDIRECT("'R10.Documentos no web'!D"&amp;SUM(18,38*12,2))),"",INDIRECT("'R10.Documentos no web'!D"&amp;SUM(18,38*12,2))))</f>
        <v>N/T</v>
      </c>
      <c r="R62" s="99" t="str" cm="1">
        <f t="array" aca="1" ref="R62" ca="1">IF($B62="","",IF(ISBLANK(INDIRECT("'R10.Documentos no web'!D"&amp;SUM(18,38*13,2))),"",INDIRECT("'R10.Documentos no web'!D"&amp;SUM(18,38*13,2))))</f>
        <v>N/T</v>
      </c>
      <c r="S62" s="99" t="str" cm="1">
        <f t="array" aca="1" ref="S62" ca="1">IF($B62="","",IF(ISBLANK(INDIRECT("'R10.Documentos no web'!D"&amp;SUM(18,38*14,2))),"",INDIRECT("'R10.Documentos no web'!D"&amp;SUM(18,38*14,2))))</f>
        <v>N/T</v>
      </c>
      <c r="T62" s="99" t="str" cm="1">
        <f t="array" aca="1" ref="T62" ca="1">IF($B62="","",IF(ISBLANK(INDIRECT("'R10.Documentos no web'!D"&amp;SUM(18,38*15,2))),"",INDIRECT("'R10.Documentos no web'!D"&amp;SUM(18,38*15,2))))</f>
        <v>N/T</v>
      </c>
      <c r="U62" s="99" t="str" cm="1">
        <f t="array" aca="1" ref="U62" ca="1">IF($B62="","",IF(ISBLANK(INDIRECT("'R10.Documentos no web'!D"&amp;SUM(18,38*16,2))),"",INDIRECT("'R10.Documentos no web'!D"&amp;SUM(18,38*16,2))))</f>
        <v>N/T</v>
      </c>
      <c r="V62" s="99" t="str" cm="1">
        <f t="array" aca="1" ref="V62" ca="1">IF($B62="","",IF(ISBLANK(INDIRECT("'R10.Documentos no web'!D"&amp;SUM(18,38*17,2))),"",INDIRECT("'R10.Documentos no web'!D"&amp;SUM(18,38*17,2))))</f>
        <v>N/T</v>
      </c>
      <c r="W62" s="99" t="str" cm="1">
        <f t="array" aca="1" ref="W62" ca="1">IF($B62="","",IF(ISBLANK(INDIRECT("'R10.Documentos no web'!D"&amp;SUM(18,38*18,2))),"",INDIRECT("'R10.Documentos no web'!D"&amp;SUM(18,38*18,2))))</f>
        <v>N/T</v>
      </c>
      <c r="X62" s="99" t="str" cm="1">
        <f t="array" aca="1" ref="X62" ca="1">IF($B62="","",IF(ISBLANK(INDIRECT("'R10.Documentos no web'!D"&amp;SUM(18,38*19,2))),"",INDIRECT("'R10.Documentos no web'!D"&amp;SUM(18,38*19,2))))</f>
        <v>N/T</v>
      </c>
      <c r="Y62" s="99" t="str" cm="1">
        <f t="array" aca="1" ref="Y62" ca="1">IF($B62="","",IF(ISBLANK(INDIRECT("'R10.Documentos no web'!D"&amp;SUM(18,38*20,2))),"",INDIRECT("'R10.Documentos no web'!D"&amp;SUM(18,38*20,2))))</f>
        <v>N/T</v>
      </c>
      <c r="Z62" s="99" t="str" cm="1">
        <f t="array" aca="1" ref="Z62" ca="1">IF($B62="","",IF(ISBLANK(INDIRECT("'R10.Documentos no web'!D"&amp;SUM(18,38*21,2))),"",INDIRECT("'R10.Documentos no web'!D"&amp;SUM(18,38*21,2))))</f>
        <v>N/T</v>
      </c>
      <c r="AA62" s="99" t="str" cm="1">
        <f t="array" aca="1" ref="AA62" ca="1">IF($B62="","",IF(ISBLANK(INDIRECT("'R10.Documentos no web'!D"&amp;SUM(18,38*22,2))),"",INDIRECT("'R10.Documentos no web'!D"&amp;SUM(18,38*22,2))))</f>
        <v>N/T</v>
      </c>
      <c r="AB62" s="99" t="str" cm="1">
        <f t="array" aca="1" ref="AB62" ca="1">IF($B62="","",IF(ISBLANK(INDIRECT("'R10.Documentos no web'!D"&amp;SUM(18,38*23,2))),"",INDIRECT("'R10.Documentos no web'!D"&amp;SUM(18,38*23,2))))</f>
        <v>N/T</v>
      </c>
      <c r="AC62" s="99" t="str" cm="1">
        <f t="array" aca="1" ref="AC62" ca="1">IF($B62="","",IF(ISBLANK(INDIRECT("'R10.Documentos no web'!D"&amp;SUM(18,38*24,2))),"",INDIRECT("'R10.Documentos no web'!D"&amp;SUM(18,38*24,2))))</f>
        <v>N/T</v>
      </c>
      <c r="AD62" s="99" t="str" cm="1">
        <f t="array" aca="1" ref="AD62" ca="1">IF($B62="","",IF(ISBLANK(INDIRECT("'R10.Documentos no web'!D"&amp;SUM(18,38*25,2))),"",INDIRECT("'R10.Documentos no web'!D"&amp;SUM(18,38*25,2))))</f>
        <v>Falla</v>
      </c>
      <c r="AE62" s="99" t="str" cm="1">
        <f t="array" aca="1" ref="AE62" ca="1">IF($B62="","",IF(ISBLANK(INDIRECT("'R10.Documentos no web'!D"&amp;SUM(18,38*26,2))),"",INDIRECT("'R10.Documentos no web'!D"&amp;SUM(18,38*26,2))))</f>
        <v>N/T</v>
      </c>
      <c r="AF62" s="99" t="str" cm="1">
        <f t="array" aca="1" ref="AF62" ca="1">IF($B62="","",IF(ISBLANK(INDIRECT("'R10.Documentos no web'!D"&amp;SUM(18,38*27,2))),"",INDIRECT("'R10.Documentos no web'!D"&amp;SUM(18,38*27,2))))</f>
        <v>N/T</v>
      </c>
      <c r="AG62" s="99" t="str" cm="1">
        <f t="array" aca="1" ref="AG62" ca="1">IF($B62="","",IF(ISBLANK(INDIRECT("'R10.Documentos no web'!D"&amp;SUM(18,38*28,2))),"",INDIRECT("'R10.Documentos no web'!D"&amp;SUM(18,38*28,2))))</f>
        <v>N/T</v>
      </c>
      <c r="AH62" s="99" t="str" cm="1">
        <f t="array" aca="1" ref="AH62" ca="1">IF($B62="","",IF(ISBLANK(INDIRECT("'R10.Documentos no web'!D"&amp;SUM(18,38*29,2))),"",INDIRECT("'R10.Documentos no web'!D"&amp;SUM(18,38*29,2))))</f>
        <v>N/T</v>
      </c>
      <c r="AI62" s="99" t="str" cm="1">
        <f t="array" aca="1" ref="AI62" ca="1">IF($B62="","",IF(ISBLANK(INDIRECT("'R10.Documentos no web'!D"&amp;SUM(18,38*30,2))),"",INDIRECT("'R10.Documentos no web'!D"&amp;SUM(18,38*30,2))))</f>
        <v>N/T</v>
      </c>
      <c r="AJ62" s="99" t="str" cm="1">
        <f t="array" aca="1" ref="AJ62" ca="1">IF($B62="","",IF(ISBLANK(INDIRECT("'R10.Documentos no web'!D"&amp;SUM(18,38*31,2))),"",INDIRECT("'R10.Documentos no web'!D"&amp;SUM(18,38*31,2))))</f>
        <v>N/T</v>
      </c>
      <c r="AK62" s="99" t="str" cm="1">
        <f t="array" aca="1" ref="AK62" ca="1">IF($B62="","",IF(ISBLANK(INDIRECT("'R10.Documentos no web'!D"&amp;SUM(18,38*32,2))),"",INDIRECT("'R10.Documentos no web'!D"&amp;SUM(18,38*32,2))))</f>
        <v>N/T</v>
      </c>
      <c r="AL62" s="99" t="str" cm="1">
        <f t="array" aca="1" ref="AL62" ca="1">IF($B62="","",IF(ISBLANK(INDIRECT("'R10.Documentos no web'!D"&amp;SUM(18,38*33,2))),"",INDIRECT("'R10.Documentos no web'!D"&amp;SUM(18,38*33,2))))</f>
        <v>N/T</v>
      </c>
      <c r="AM62" s="99" t="str" cm="1">
        <f t="array" aca="1" ref="AM62" ca="1">IF($B62="","",IF(ISBLANK(INDIRECT("'R10.Documentos no web'!D"&amp;SUM(18,38*34,2))),"",INDIRECT("'R10.Documentos no web'!D"&amp;SUM(18,38*34,2))))</f>
        <v>N/D</v>
      </c>
      <c r="AN62" s="99" t="str" cm="1">
        <f t="array" aca="1" ref="AN62" ca="1">IF($B62="","",IF(ISBLANK(INDIRECT("'R10.Documentos no web'!D"&amp;SUM(18,38*35,2))),"",INDIRECT("'R10.Documentos no web'!D"&amp;SUM(18,38*35,2))))</f>
        <v>N/T</v>
      </c>
      <c r="AO62" s="99" t="str" cm="1">
        <f t="array" aca="1" ref="AO62" ca="1">IF($B62="","",IF(ISBLANK(INDIRECT("'R10.Documentos no web'!D"&amp;SUM(18,38*36,2))),"",INDIRECT("'R10.Documentos no web'!D"&amp;SUM(18,38*36,2))))</f>
        <v>N/T</v>
      </c>
      <c r="AP62" s="99" t="str" cm="1">
        <f t="array" aca="1" ref="AP62" ca="1">IF($B62="","",IF(ISBLANK(INDIRECT("'R10.Documentos no web'!D"&amp;SUM(18,38*37,2))),"",INDIRECT("'R10.Documentos no web'!D"&amp;SUM(18,38*37,2))))</f>
        <v>N/T</v>
      </c>
      <c r="AQ62" s="99" t="str" cm="1">
        <f t="array" aca="1" ref="AQ62" ca="1">IF($B62="","",IF(ISBLANK(INDIRECT("'R10.Documentos no web'!D"&amp;SUM(18,38*38,2))),"",INDIRECT("'R10.Documentos no web'!D"&amp;SUM(18,38*38,2))))</f>
        <v>N/T</v>
      </c>
      <c r="AR62" s="99" t="str" cm="1">
        <f t="array" aca="1" ref="AR62" ca="1">IF($B62="","",IF(ISBLANK(INDIRECT("'R10.Documentos no web'!D"&amp;SUM(18,38*39,2))),"",INDIRECT("'R10.Documentos no web'!D"&amp;SUM(18,38*39,2))))</f>
        <v>N/T</v>
      </c>
      <c r="AS62" s="99" t="str" cm="1">
        <f t="array" aca="1" ref="AS62" ca="1">IF($B62="","",IF(ISBLANK(INDIRECT("'R10.Documentos no web'!D"&amp;SUM(18,38*40,2))),"",INDIRECT("'R10.Documentos no web'!D"&amp;SUM(18,38*40,2))))</f>
        <v>N/T</v>
      </c>
      <c r="AT62" s="99" t="str" cm="1">
        <f t="array" aca="1" ref="AT62" ca="1">IF($B62="","",IF(ISBLANK(INDIRECT("'R10.Documentos no web'!D"&amp;SUM(18,38*41,2))),"",INDIRECT("'R10.Documentos no web'!D"&amp;SUM(18,38*41,2))))</f>
        <v>N/T</v>
      </c>
      <c r="AU62" s="99" t="str" cm="1">
        <f t="array" aca="1" ref="AU62" ca="1">IF($B62="","",IF(ISBLANK(INDIRECT("'R10.Documentos no web'!D"&amp;SUM(18,38*42,2))),"",INDIRECT("'R10.Documentos no web'!D"&amp;SUM(18,38*42,2))))</f>
        <v>N/T</v>
      </c>
      <c r="AV62" s="99" t="str" cm="1">
        <f t="array" aca="1" ref="AV62" ca="1">IF($B62="","",IF(ISBLANK(INDIRECT("'R10.Documentos no web'!D"&amp;SUM(18,38*43,2))),"",INDIRECT("'R10.Documentos no web'!D"&amp;SUM(18,38*43,2))))</f>
        <v>Falla</v>
      </c>
      <c r="AW62" s="99" t="str" cm="1">
        <f t="array" aca="1" ref="AW62" ca="1">IF($B62="","",IF(ISBLANK(INDIRECT("'R10.Documentos no web'!D"&amp;SUM(18,38*44,2))),"",INDIRECT("'R10.Documentos no web'!D"&amp;SUM(18,38*44,2))))</f>
        <v>N/T</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154</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EN CURSO</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EN CURSO</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EN CURSO</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EN CURSO</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EN CURSO</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NO CONFORME</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EN CURSO</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EN CURSO</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EN CURSO</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EN CURSO</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EN CURSO</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EN CURSO</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EN CURSO</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EN CURSO</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EN CURSO</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EN CURSO</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EN CURSO</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EN CURSO</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EN CURSO</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EN CURSO</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EN CURSO</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EN CURSO</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EN CURSO</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EN CURSO</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EN CURSO</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EN CURSO</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EN CURSO</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EN CURSO</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EN CURSO</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EN CURSO</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EN CURSO</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EN CURSO</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EN CURSO</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EN CURSO</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EN CURSO</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EN CURSO</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EN CURSO</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EN CURSO</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EN CURSO</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EN CURSO</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EN CURSO</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EN CURSO</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EN CURSO</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EN CURSO</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EN CURSO</v>
      </c>
    </row>
  </sheetData>
  <sheetCalcPr fullCalcOnLoad="true"/>
  <sheetProtection password="DC4E" sheet="true" scenarios="true" objects="true"/>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20:CF54 CH20:CR54">
    <cfRule type="cellIs" dxfId="117" priority="779" operator="equal">
      <formula>"Pasa"</formula>
    </cfRule>
    <cfRule type="cellIs" dxfId="116" priority="780" operator="equal">
      <formula>"Falla"</formula>
    </cfRule>
    <cfRule type="cellIs" dxfId="115" priority="781" operator="equal">
      <formula>"N/A"</formula>
    </cfRule>
    <cfRule type="cellIs" dxfId="114" priority="782" operator="equal">
      <formula>"N/T"</formula>
    </cfRule>
    <cfRule type="cellIs" dxfId="113" priority="783" operator="equal">
      <formula>"N/D"</formula>
    </cfRule>
  </conditionalFormatting>
  <conditionalFormatting sqref="E55:CR55 E96:AW96">
    <cfRule type="cellIs" dxfId="112" priority="784" operator="equal">
      <formula>"CONFORME"</formula>
    </cfRule>
    <cfRule type="cellIs" dxfId="111" priority="785" operator="equal">
      <formula>"NO CONFORME"</formula>
    </cfRule>
    <cfRule type="cellIs" dxfId="110" priority="786" operator="equal">
      <formula>"ERROR"</formula>
    </cfRule>
    <cfRule type="cellIs" dxfId="109" priority="787" operator="equal">
      <formula>"N/A"</formula>
    </cfRule>
  </conditionalFormatting>
  <conditionalFormatting sqref="CU20">
    <cfRule type="cellIs" dxfId="108" priority="788" operator="equal">
      <formula>"FALLA"</formula>
    </cfRule>
    <cfRule type="cellIs" dxfId="107" priority="789" operator="equal">
      <formula>"PASA"</formula>
    </cfRule>
  </conditionalFormatting>
  <conditionalFormatting sqref="K14:L14">
    <cfRule type="cellIs" dxfId="106" priority="290" operator="equal">
      <formula>"SI"</formula>
    </cfRule>
    <cfRule type="cellIs" dxfId="105" priority="291" operator="equal">
      <formula>"NO"</formula>
    </cfRule>
  </conditionalFormatting>
  <conditionalFormatting sqref="E20:H54 T20:AC54 BK20:BL54 BN20:BV54 BY20:CD54 AF20:BH54">
    <cfRule type="cellIs" dxfId="104" priority="105" operator="equal">
      <formula>"Pasa"</formula>
    </cfRule>
    <cfRule type="cellIs" dxfId="103" priority="106" operator="equal">
      <formula>"Falla"</formula>
    </cfRule>
    <cfRule type="cellIs" dxfId="102" priority="107" operator="equal">
      <formula>"N/A"</formula>
    </cfRule>
    <cfRule type="cellIs" dxfId="101" priority="108" operator="equal">
      <formula>"N/T"</formula>
    </cfRule>
    <cfRule type="cellIs" dxfId="100" priority="109" operator="equal">
      <formula>"N/D"</formula>
    </cfRule>
  </conditionalFormatting>
  <conditionalFormatting sqref="S20:S54">
    <cfRule type="cellIs" dxfId="99" priority="100" operator="equal">
      <formula>"Pasa"</formula>
    </cfRule>
    <cfRule type="cellIs" dxfId="98" priority="101" operator="equal">
      <formula>"Falla"</formula>
    </cfRule>
    <cfRule type="cellIs" dxfId="97" priority="102" operator="equal">
      <formula>"N/A"</formula>
    </cfRule>
    <cfRule type="cellIs" dxfId="96" priority="103" operator="equal">
      <formula>"N/T"</formula>
    </cfRule>
    <cfRule type="cellIs" dxfId="95" priority="104" operator="equal">
      <formula>"N/D"</formula>
    </cfRule>
  </conditionalFormatting>
  <conditionalFormatting sqref="R20:R54">
    <cfRule type="cellIs" dxfId="94" priority="95" operator="equal">
      <formula>"Pasa"</formula>
    </cfRule>
    <cfRule type="cellIs" dxfId="93" priority="96" operator="equal">
      <formula>"Falla"</formula>
    </cfRule>
    <cfRule type="cellIs" dxfId="92" priority="97" operator="equal">
      <formula>"N/A"</formula>
    </cfRule>
    <cfRule type="cellIs" dxfId="91" priority="98" operator="equal">
      <formula>"N/T"</formula>
    </cfRule>
    <cfRule type="cellIs" dxfId="90" priority="99" operator="equal">
      <formula>"N/D"</formula>
    </cfRule>
  </conditionalFormatting>
  <conditionalFormatting sqref="Q20:Q54">
    <cfRule type="cellIs" dxfId="89" priority="90" operator="equal">
      <formula>"Pasa"</formula>
    </cfRule>
    <cfRule type="cellIs" dxfId="88" priority="91" operator="equal">
      <formula>"Falla"</formula>
    </cfRule>
    <cfRule type="cellIs" dxfId="87" priority="92" operator="equal">
      <formula>"N/A"</formula>
    </cfRule>
    <cfRule type="cellIs" dxfId="86" priority="93" operator="equal">
      <formula>"N/T"</formula>
    </cfRule>
    <cfRule type="cellIs" dxfId="85" priority="94" operator="equal">
      <formula>"N/D"</formula>
    </cfRule>
  </conditionalFormatting>
  <conditionalFormatting sqref="P20:P54">
    <cfRule type="cellIs" dxfId="84" priority="85" operator="equal">
      <formula>"Pasa"</formula>
    </cfRule>
    <cfRule type="cellIs" dxfId="83" priority="86" operator="equal">
      <formula>"Falla"</formula>
    </cfRule>
    <cfRule type="cellIs" dxfId="82" priority="87" operator="equal">
      <formula>"N/A"</formula>
    </cfRule>
    <cfRule type="cellIs" dxfId="81" priority="88" operator="equal">
      <formula>"N/T"</formula>
    </cfRule>
    <cfRule type="cellIs" dxfId="80" priority="89" operator="equal">
      <formula>"N/D"</formula>
    </cfRule>
  </conditionalFormatting>
  <conditionalFormatting sqref="O20:O54">
    <cfRule type="cellIs" dxfId="79" priority="80" operator="equal">
      <formula>"Pasa"</formula>
    </cfRule>
    <cfRule type="cellIs" dxfId="78" priority="81" operator="equal">
      <formula>"Falla"</formula>
    </cfRule>
    <cfRule type="cellIs" dxfId="77" priority="82" operator="equal">
      <formula>"N/A"</formula>
    </cfRule>
    <cfRule type="cellIs" dxfId="76" priority="83" operator="equal">
      <formula>"N/T"</formula>
    </cfRule>
    <cfRule type="cellIs" dxfId="75" priority="84" operator="equal">
      <formula>"N/D"</formula>
    </cfRule>
  </conditionalFormatting>
  <conditionalFormatting sqref="N20:N54">
    <cfRule type="cellIs" dxfId="74" priority="75" operator="equal">
      <formula>"Pasa"</formula>
    </cfRule>
    <cfRule type="cellIs" dxfId="73" priority="76" operator="equal">
      <formula>"Falla"</formula>
    </cfRule>
    <cfRule type="cellIs" dxfId="72" priority="77" operator="equal">
      <formula>"N/A"</formula>
    </cfRule>
    <cfRule type="cellIs" dxfId="71" priority="78" operator="equal">
      <formula>"N/T"</formula>
    </cfRule>
    <cfRule type="cellIs" dxfId="70" priority="79" operator="equal">
      <formula>"N/D"</formula>
    </cfRule>
  </conditionalFormatting>
  <conditionalFormatting sqref="M20:M54">
    <cfRule type="cellIs" dxfId="69" priority="70" operator="equal">
      <formula>"Pasa"</formula>
    </cfRule>
    <cfRule type="cellIs" dxfId="68" priority="71" operator="equal">
      <formula>"Falla"</formula>
    </cfRule>
    <cfRule type="cellIs" dxfId="67" priority="72" operator="equal">
      <formula>"N/A"</formula>
    </cfRule>
    <cfRule type="cellIs" dxfId="66" priority="73" operator="equal">
      <formula>"N/T"</formula>
    </cfRule>
    <cfRule type="cellIs" dxfId="65" priority="74" operator="equal">
      <formula>"N/D"</formula>
    </cfRule>
  </conditionalFormatting>
  <conditionalFormatting sqref="L20:L54">
    <cfRule type="cellIs" dxfId="64" priority="65" operator="equal">
      <formula>"Pasa"</formula>
    </cfRule>
    <cfRule type="cellIs" dxfId="63" priority="66" operator="equal">
      <formula>"Falla"</formula>
    </cfRule>
    <cfRule type="cellIs" dxfId="62" priority="67" operator="equal">
      <formula>"N/A"</formula>
    </cfRule>
    <cfRule type="cellIs" dxfId="61" priority="68" operator="equal">
      <formula>"N/T"</formula>
    </cfRule>
    <cfRule type="cellIs" dxfId="60" priority="69" operator="equal">
      <formula>"N/D"</formula>
    </cfRule>
  </conditionalFormatting>
  <conditionalFormatting sqref="K20:K54">
    <cfRule type="cellIs" dxfId="59" priority="60" operator="equal">
      <formula>"Pasa"</formula>
    </cfRule>
    <cfRule type="cellIs" dxfId="58" priority="61" operator="equal">
      <formula>"Falla"</formula>
    </cfRule>
    <cfRule type="cellIs" dxfId="57" priority="62" operator="equal">
      <formula>"N/A"</formula>
    </cfRule>
    <cfRule type="cellIs" dxfId="56" priority="63" operator="equal">
      <formula>"N/T"</formula>
    </cfRule>
    <cfRule type="cellIs" dxfId="55" priority="64" operator="equal">
      <formula>"N/D"</formula>
    </cfRule>
  </conditionalFormatting>
  <conditionalFormatting sqref="J20:J54">
    <cfRule type="cellIs" dxfId="54" priority="55" operator="equal">
      <formula>"Pasa"</formula>
    </cfRule>
    <cfRule type="cellIs" dxfId="53" priority="56" operator="equal">
      <formula>"Falla"</formula>
    </cfRule>
    <cfRule type="cellIs" dxfId="52" priority="57" operator="equal">
      <formula>"N/A"</formula>
    </cfRule>
    <cfRule type="cellIs" dxfId="51" priority="58" operator="equal">
      <formula>"N/T"</formula>
    </cfRule>
    <cfRule type="cellIs" dxfId="50" priority="59" operator="equal">
      <formula>"N/D"</formula>
    </cfRule>
  </conditionalFormatting>
  <conditionalFormatting sqref="I20:I54">
    <cfRule type="cellIs" dxfId="49" priority="50" operator="equal">
      <formula>"Pasa"</formula>
    </cfRule>
    <cfRule type="cellIs" dxfId="48" priority="51" operator="equal">
      <formula>"Falla"</formula>
    </cfRule>
    <cfRule type="cellIs" dxfId="47" priority="52" operator="equal">
      <formula>"N/A"</formula>
    </cfRule>
    <cfRule type="cellIs" dxfId="46" priority="53" operator="equal">
      <formula>"N/T"</formula>
    </cfRule>
    <cfRule type="cellIs" dxfId="45" priority="54" operator="equal">
      <formula>"N/D"</formula>
    </cfRule>
  </conditionalFormatting>
  <conditionalFormatting sqref="AE20:AE54">
    <cfRule type="cellIs" dxfId="44" priority="45" operator="equal">
      <formula>"Pasa"</formula>
    </cfRule>
    <cfRule type="cellIs" dxfId="43" priority="46" operator="equal">
      <formula>"Falla"</formula>
    </cfRule>
    <cfRule type="cellIs" dxfId="42" priority="47" operator="equal">
      <formula>"N/A"</formula>
    </cfRule>
    <cfRule type="cellIs" dxfId="41" priority="48" operator="equal">
      <formula>"N/T"</formula>
    </cfRule>
    <cfRule type="cellIs" dxfId="40" priority="49" operator="equal">
      <formula>"N/D"</formula>
    </cfRule>
  </conditionalFormatting>
  <conditionalFormatting sqref="AD20:AD54">
    <cfRule type="cellIs" dxfId="39" priority="40" operator="equal">
      <formula>"Pasa"</formula>
    </cfRule>
    <cfRule type="cellIs" dxfId="38" priority="41" operator="equal">
      <formula>"Falla"</formula>
    </cfRule>
    <cfRule type="cellIs" dxfId="37" priority="42" operator="equal">
      <formula>"N/A"</formula>
    </cfRule>
    <cfRule type="cellIs" dxfId="36" priority="43" operator="equal">
      <formula>"N/T"</formula>
    </cfRule>
    <cfRule type="cellIs" dxfId="35" priority="44" operator="equal">
      <formula>"N/D"</formula>
    </cfRule>
  </conditionalFormatting>
  <conditionalFormatting sqref="BJ20:BJ54">
    <cfRule type="cellIs" dxfId="34" priority="35" operator="equal">
      <formula>"Pasa"</formula>
    </cfRule>
    <cfRule type="cellIs" dxfId="33" priority="36" operator="equal">
      <formula>"Falla"</formula>
    </cfRule>
    <cfRule type="cellIs" dxfId="32" priority="37" operator="equal">
      <formula>"N/A"</formula>
    </cfRule>
    <cfRule type="cellIs" dxfId="31" priority="38" operator="equal">
      <formula>"N/T"</formula>
    </cfRule>
    <cfRule type="cellIs" dxfId="30" priority="39" operator="equal">
      <formula>"N/D"</formula>
    </cfRule>
  </conditionalFormatting>
  <conditionalFormatting sqref="BI20:BI54">
    <cfRule type="cellIs" dxfId="29" priority="30" operator="equal">
      <formula>"Pasa"</formula>
    </cfRule>
    <cfRule type="cellIs" dxfId="28" priority="31" operator="equal">
      <formula>"Falla"</formula>
    </cfRule>
    <cfRule type="cellIs" dxfId="27" priority="32" operator="equal">
      <formula>"N/A"</formula>
    </cfRule>
    <cfRule type="cellIs" dxfId="26" priority="33" operator="equal">
      <formula>"N/T"</formula>
    </cfRule>
    <cfRule type="cellIs" dxfId="25" priority="34" operator="equal">
      <formula>"N/D"</formula>
    </cfRule>
  </conditionalFormatting>
  <conditionalFormatting sqref="BM20:BM54">
    <cfRule type="cellIs" dxfId="24" priority="25" operator="equal">
      <formula>"Pasa"</formula>
    </cfRule>
    <cfRule type="cellIs" dxfId="23" priority="26" operator="equal">
      <formula>"Falla"</formula>
    </cfRule>
    <cfRule type="cellIs" dxfId="22" priority="27" operator="equal">
      <formula>"N/A"</formula>
    </cfRule>
    <cfRule type="cellIs" dxfId="21" priority="28" operator="equal">
      <formula>"N/T"</formula>
    </cfRule>
    <cfRule type="cellIs" dxfId="20" priority="29" operator="equal">
      <formula>"N/D"</formula>
    </cfRule>
  </conditionalFormatting>
  <conditionalFormatting sqref="BX20:BX54">
    <cfRule type="cellIs" dxfId="19" priority="20" operator="equal">
      <formula>"Pasa"</formula>
    </cfRule>
    <cfRule type="cellIs" dxfId="18" priority="21" operator="equal">
      <formula>"Falla"</formula>
    </cfRule>
    <cfRule type="cellIs" dxfId="17" priority="22" operator="equal">
      <formula>"N/A"</formula>
    </cfRule>
    <cfRule type="cellIs" dxfId="16" priority="23" operator="equal">
      <formula>"N/T"</formula>
    </cfRule>
    <cfRule type="cellIs" dxfId="15" priority="24" operator="equal">
      <formula>"N/D"</formula>
    </cfRule>
  </conditionalFormatting>
  <conditionalFormatting sqref="BW20:BW54">
    <cfRule type="cellIs" dxfId="14" priority="15" operator="equal">
      <formula>"Pasa"</formula>
    </cfRule>
    <cfRule type="cellIs" dxfId="13" priority="16" operator="equal">
      <formula>"Falla"</formula>
    </cfRule>
    <cfRule type="cellIs" dxfId="12" priority="17" operator="equal">
      <formula>"N/A"</formula>
    </cfRule>
    <cfRule type="cellIs" dxfId="11" priority="18" operator="equal">
      <formula>"N/T"</formula>
    </cfRule>
    <cfRule type="cellIs" dxfId="10" priority="19" operator="equal">
      <formula>"N/D"</formula>
    </cfRule>
  </conditionalFormatting>
  <conditionalFormatting sqref="CE20:CE54">
    <cfRule type="cellIs" dxfId="9" priority="10" operator="equal">
      <formula>"Pasa"</formula>
    </cfRule>
    <cfRule type="cellIs" dxfId="8" priority="11" operator="equal">
      <formula>"Falla"</formula>
    </cfRule>
    <cfRule type="cellIs" dxfId="7" priority="12" operator="equal">
      <formula>"N/A"</formula>
    </cfRule>
    <cfRule type="cellIs" dxfId="6" priority="13" operator="equal">
      <formula>"N/T"</formula>
    </cfRule>
    <cfRule type="cellIs" dxfId="5" priority="14" operator="equal">
      <formula>"N/D"</formula>
    </cfRule>
  </conditionalFormatting>
  <conditionalFormatting sqref="CG20:CG54">
    <cfRule type="cellIs" dxfId="4" priority="1" operator="equal">
      <formula>"Pasa"</formula>
    </cfRule>
    <cfRule type="cellIs" dxfId="3" priority="2" operator="equal">
      <formula>"Falla"</formula>
    </cfRule>
    <cfRule type="cellIs" dxfId="2" priority="3" operator="equal">
      <formula>"N/A"</formula>
    </cfRule>
    <cfRule type="cellIs" dxfId="1" priority="4" operator="equal">
      <formula>"N/T"</formula>
    </cfRule>
    <cfRule type="cellIs" dxfId="0" priority="5" operator="equal">
      <formula>"N/D"</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BL8"/>
  <sheetViews>
    <sheetView topLeftCell="A6" zoomScale="90" zoomScaleNormal="90" workbookViewId="0">
      <selection activeCell="B6" sqref="B6:N8"/>
    </sheetView>
  </sheetViews>
  <sheetFormatPr baseColWidth="10" defaultRowHeight="12.75"/>
  <cols>
    <col min="13" max="13" customWidth="true" width="12.28515625" collapsed="false"/>
    <col min="14" max="14" customWidth="true" width="13.42578125" collapsed="false"/>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65" customHeight="1">
      <c r="A2" s="27"/>
      <c r="B2" s="5" t="s">
        <v>278</v>
      </c>
      <c r="C2" s="3"/>
      <c r="D2" s="3"/>
      <c r="E2" s="3"/>
      <c r="F2" s="3"/>
      <c r="G2" s="3"/>
      <c r="H2" s="3"/>
      <c r="I2" s="3"/>
      <c r="J2" s="3"/>
      <c r="K2" s="3"/>
      <c r="L2" s="3"/>
      <c r="M2" s="3"/>
      <c r="N2" s="3"/>
      <c r="O2" s="3"/>
      <c r="P2" s="3"/>
      <c r="Q2" s="3"/>
      <c r="R2" s="3"/>
      <c r="S2" s="3"/>
      <c r="T2" s="3"/>
      <c r="U2" s="3"/>
      <c r="V2" s="3"/>
      <c r="W2" s="3"/>
      <c r="X2" s="3"/>
      <c r="Y2" s="3"/>
      <c r="Z2" s="3"/>
    </row>
    <row r="3" spans="1:64" s="40" customFormat="1" ht="23.6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1" t="s">
        <v>89</v>
      </c>
      <c r="C4" s="291"/>
      <c r="D4" s="291"/>
      <c r="E4" s="291"/>
      <c r="F4" s="291"/>
      <c r="G4" s="291"/>
      <c r="H4" s="291"/>
      <c r="I4" s="291"/>
      <c r="J4" s="291"/>
      <c r="K4" s="291"/>
      <c r="L4" s="291"/>
      <c r="M4" s="291"/>
      <c r="N4" s="291"/>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89" t="s">
        <v>479</v>
      </c>
      <c r="C6" s="289"/>
      <c r="D6" s="289"/>
      <c r="E6" s="289"/>
      <c r="F6" s="289"/>
      <c r="G6" s="289"/>
      <c r="H6" s="289"/>
      <c r="I6" s="289"/>
      <c r="J6" s="289"/>
      <c r="K6" s="289"/>
      <c r="L6" s="289"/>
      <c r="M6" s="289"/>
      <c r="N6" s="289"/>
    </row>
    <row r="7" spans="1:64" ht="172.5" customHeight="1">
      <c r="A7" s="40"/>
      <c r="B7" s="290"/>
      <c r="C7" s="290"/>
      <c r="D7" s="290"/>
      <c r="E7" s="290"/>
      <c r="F7" s="290"/>
      <c r="G7" s="290"/>
      <c r="H7" s="290"/>
      <c r="I7" s="290"/>
      <c r="J7" s="290"/>
      <c r="K7" s="290"/>
      <c r="L7" s="290"/>
      <c r="M7" s="290"/>
      <c r="N7" s="29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0"/>
      <c r="C8" s="290"/>
      <c r="D8" s="290"/>
      <c r="E8" s="290"/>
      <c r="F8" s="290"/>
      <c r="G8" s="290"/>
      <c r="H8" s="290"/>
      <c r="I8" s="290"/>
      <c r="J8" s="290"/>
      <c r="K8" s="290"/>
      <c r="L8" s="290"/>
      <c r="M8" s="290"/>
      <c r="N8" s="290"/>
    </row>
  </sheetData>
  <sheetCalcPr fullCalcOnLoad="true"/>
  <sheetProtection password="DC4E" sheet="true" scenarios="true" objects="true"/>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EEEEEE"/>
  </sheetPr>
  <dimension ref="B7:W56"/>
  <sheetViews>
    <sheetView zoomScale="80" zoomScaleNormal="80" workbookViewId="0">
      <selection activeCell="V24" sqref="V24"/>
    </sheetView>
  </sheetViews>
  <sheetFormatPr baseColWidth="10" defaultColWidth="11.5703125" defaultRowHeight="12.75"/>
  <cols>
    <col min="1" max="1" customWidth="true" width="3.85546875" collapsed="false"/>
    <col min="2" max="2" customWidth="true" width="65.140625" collapsed="false"/>
    <col min="3" max="3" customWidth="true" width="18.85546875" collapsed="false"/>
    <col min="4" max="4" customWidth="true" width="3.85546875" collapsed="false"/>
    <col min="5" max="5" customWidth="true" width="28.140625" collapsed="false"/>
    <col min="6" max="6" customWidth="true" width="3.85546875" collapsed="false"/>
    <col min="7" max="7" customWidth="true" width="33.140625" collapsed="false"/>
    <col min="8" max="8" customWidth="true" width="4.0" collapsed="false"/>
    <col min="9" max="9" customWidth="true" width="17.85546875" collapsed="false"/>
    <col min="10" max="10" customWidth="true" width="3.85546875" collapsed="false"/>
    <col min="11" max="11" customWidth="true" width="6.5703125" collapsed="false"/>
    <col min="12" max="12" customWidth="true" width="3.85546875" collapsed="false"/>
    <col min="13" max="13" customWidth="true" width="8.7109375" collapsed="false"/>
    <col min="14" max="14" customWidth="true" width="3.85546875" collapsed="false"/>
    <col min="15" max="15" customWidth="true" width="25.28515625" collapsed="false"/>
    <col min="16" max="16" customWidth="true" width="3.85546875" collapsed="false"/>
    <col min="18" max="18" customWidth="true" width="3.85546875" collapsed="false"/>
    <col min="19" max="19" customWidth="true" width="22.5703125" collapsed="false"/>
    <col min="20" max="20" customWidth="true" width="3.85546875" collapsed="false"/>
    <col min="21" max="21" customWidth="true" width="11.5703125" collapsed="false"/>
  </cols>
  <sheetData>
    <row r="7" spans="3:23">
      <c r="C7" s="185" t="s">
        <v>51</v>
      </c>
      <c r="D7" s="113"/>
      <c r="E7" s="185" t="s">
        <v>52</v>
      </c>
      <c r="F7" s="113"/>
      <c r="G7" s="185" t="s">
        <v>11</v>
      </c>
      <c r="H7" s="113"/>
      <c r="I7" s="185" t="s">
        <v>53</v>
      </c>
      <c r="J7" s="113"/>
      <c r="K7" s="185" t="s">
        <v>54</v>
      </c>
      <c r="L7" s="113"/>
      <c r="M7" s="185" t="s">
        <v>54</v>
      </c>
      <c r="N7" s="113"/>
      <c r="O7" s="185" t="s">
        <v>55</v>
      </c>
      <c r="P7" s="113"/>
      <c r="Q7" s="40"/>
      <c r="R7" s="113"/>
      <c r="S7" s="185" t="s">
        <v>56</v>
      </c>
      <c r="T7" s="113"/>
      <c r="U7" s="185" t="s">
        <v>32</v>
      </c>
      <c r="V7" s="113"/>
      <c r="W7" s="40"/>
    </row>
    <row r="8" spans="3:23">
      <c r="U8" s="176" t="s">
        <v>267</v>
      </c>
      <c r="V8" s="176"/>
    </row>
    <row r="9" spans="3:23" ht="12.75" customHeight="1">
      <c r="C9" s="3" t="s">
        <v>57</v>
      </c>
      <c r="E9" s="17" t="s">
        <v>5</v>
      </c>
      <c r="G9" t="s">
        <v>58</v>
      </c>
      <c r="I9" t="s">
        <v>59</v>
      </c>
      <c r="K9" t="s">
        <v>60</v>
      </c>
      <c r="M9" t="s">
        <v>61</v>
      </c>
      <c r="O9" t="s">
        <v>62</v>
      </c>
      <c r="S9" s="40" t="s">
        <v>287</v>
      </c>
      <c r="U9" s="22" t="s">
        <v>33</v>
      </c>
      <c r="V9" s="22"/>
    </row>
    <row r="10" spans="3:23" ht="12.75" customHeight="1">
      <c r="C10" s="3" t="s">
        <v>63</v>
      </c>
      <c r="E10" s="17" t="s">
        <v>274</v>
      </c>
      <c r="G10" t="s">
        <v>64</v>
      </c>
      <c r="I10" t="s">
        <v>65</v>
      </c>
      <c r="K10" t="s">
        <v>6</v>
      </c>
      <c r="M10" t="s">
        <v>66</v>
      </c>
      <c r="O10" t="s">
        <v>67</v>
      </c>
      <c r="S10" s="40" t="s">
        <v>288</v>
      </c>
      <c r="U10" s="22" t="s">
        <v>37</v>
      </c>
      <c r="V10" s="22"/>
    </row>
    <row r="11" spans="3:23" ht="12.75" customHeight="1">
      <c r="C11" s="3" t="s">
        <v>68</v>
      </c>
      <c r="E11" s="17" t="s">
        <v>275</v>
      </c>
      <c r="G11" t="s">
        <v>69</v>
      </c>
      <c r="O11" t="s">
        <v>70</v>
      </c>
      <c r="S11" s="40" t="s">
        <v>289</v>
      </c>
      <c r="U11" s="22" t="s">
        <v>35</v>
      </c>
      <c r="V11" s="22"/>
    </row>
    <row r="12" spans="3:23" ht="12.75" customHeight="1">
      <c r="C12" s="3" t="s">
        <v>71</v>
      </c>
      <c r="E12" s="17" t="s">
        <v>7</v>
      </c>
      <c r="O12" t="s">
        <v>72</v>
      </c>
      <c r="U12" s="22" t="s">
        <v>28</v>
      </c>
      <c r="V12" s="22"/>
    </row>
    <row r="13" spans="3:23" ht="12.75" customHeight="1">
      <c r="E13" s="17" t="s">
        <v>8</v>
      </c>
      <c r="O13" t="s">
        <v>73</v>
      </c>
      <c r="U13" s="22" t="s">
        <v>26</v>
      </c>
      <c r="V13" s="22"/>
    </row>
    <row r="14" spans="3:23" ht="12.75" customHeight="1">
      <c r="E14" s="17" t="s">
        <v>9</v>
      </c>
      <c r="O14" t="s">
        <v>74</v>
      </c>
    </row>
    <row r="15" spans="3:23" ht="12.75" customHeight="1">
      <c r="E15" s="17" t="s">
        <v>276</v>
      </c>
      <c r="O15" t="s">
        <v>75</v>
      </c>
    </row>
    <row r="16" spans="3:23" ht="12.75" customHeight="1">
      <c r="E16" s="17" t="s">
        <v>277</v>
      </c>
      <c r="O16" s="40" t="s">
        <v>76</v>
      </c>
    </row>
    <row r="17" spans="2:15" ht="12.75" customHeight="1">
      <c r="E17" s="17" t="s">
        <v>10</v>
      </c>
      <c r="O17" t="s">
        <v>77</v>
      </c>
    </row>
    <row r="18" spans="2:15" ht="12.75" customHeight="1">
      <c r="E18" s="17"/>
      <c r="O18" t="s">
        <v>78</v>
      </c>
    </row>
    <row r="19" spans="2:15" ht="12.75" customHeight="1">
      <c r="E19" s="17"/>
      <c r="O19" t="s">
        <v>79</v>
      </c>
    </row>
    <row r="20" spans="2:15" ht="12.75" customHeight="1">
      <c r="E20" s="32"/>
      <c r="O20" t="s">
        <v>80</v>
      </c>
    </row>
    <row r="21" spans="2:15" ht="12.75" customHeight="1">
      <c r="E21" s="18"/>
      <c r="O21" t="s">
        <v>81</v>
      </c>
    </row>
    <row r="22" spans="2:15" ht="12.75" customHeight="1">
      <c r="O22" t="s">
        <v>66</v>
      </c>
    </row>
    <row r="23" spans="2:15" ht="15.75">
      <c r="B23" s="33" t="s">
        <v>82</v>
      </c>
    </row>
    <row r="25" spans="2:15" ht="15.75">
      <c r="B25" s="34" t="s">
        <v>83</v>
      </c>
      <c r="C25" s="35">
        <v>0.1</v>
      </c>
    </row>
    <row r="26" spans="2:15" ht="15.75">
      <c r="B26" s="34" t="s">
        <v>84</v>
      </c>
      <c r="C26" s="35">
        <v>0.5</v>
      </c>
    </row>
    <row r="27" spans="2:15" ht="15.75">
      <c r="B27" s="34" t="s">
        <v>85</v>
      </c>
      <c r="C27" s="35">
        <v>1</v>
      </c>
    </row>
    <row r="28" spans="2:15">
      <c r="C28" s="36"/>
      <c r="D28" s="36"/>
    </row>
    <row r="29" spans="2:15">
      <c r="C29" s="36"/>
      <c r="D29" s="36"/>
    </row>
    <row r="30" spans="2:15" ht="15">
      <c r="B30" s="37" t="s">
        <v>86</v>
      </c>
      <c r="C30" s="38"/>
      <c r="D30" s="38"/>
    </row>
    <row r="31" spans="2:15" ht="14.25">
      <c r="B31" s="39"/>
      <c r="C31" s="38"/>
      <c r="D31" s="38"/>
    </row>
    <row r="32" spans="2:15" ht="14.25">
      <c r="B32" s="39" t="s">
        <v>87</v>
      </c>
      <c r="C32" s="39">
        <v>28</v>
      </c>
      <c r="D32" s="39"/>
    </row>
    <row r="33" spans="2:4" ht="14.25">
      <c r="B33" s="39" t="s">
        <v>88</v>
      </c>
      <c r="C33" s="39">
        <v>16</v>
      </c>
      <c r="D33" s="39"/>
    </row>
    <row r="34" spans="2:4" ht="14.25">
      <c r="B34" s="39"/>
      <c r="C34" s="39"/>
      <c r="D34" s="39"/>
    </row>
    <row r="35" spans="2:4" ht="14.25">
      <c r="B35" s="39"/>
      <c r="C35" s="39"/>
      <c r="D35" s="39"/>
    </row>
    <row r="36" spans="2:4" ht="14.25">
      <c r="B36" s="39"/>
      <c r="C36" s="39"/>
      <c r="D36" s="39"/>
    </row>
    <row r="37" spans="2:4" ht="14.25">
      <c r="B37" s="39"/>
      <c r="C37" s="39"/>
      <c r="D37" s="39"/>
    </row>
    <row r="38" spans="2:4" ht="14.25">
      <c r="B38" s="39"/>
      <c r="C38" s="39"/>
      <c r="D38" s="39"/>
    </row>
    <row r="39" spans="2:4" ht="14.25">
      <c r="B39" s="39"/>
      <c r="C39" s="39"/>
      <c r="D39" s="39"/>
    </row>
    <row r="40" spans="2:4" ht="14.25">
      <c r="B40" s="39"/>
      <c r="C40" s="39"/>
    </row>
    <row r="41" spans="2:4" ht="14.25">
      <c r="B41" s="39"/>
      <c r="C41" s="39"/>
    </row>
    <row r="42" spans="2:4" ht="14.25">
      <c r="B42" s="39"/>
      <c r="C42" s="39"/>
    </row>
    <row r="43" spans="2:4" ht="14.25">
      <c r="B43" s="39"/>
      <c r="C43" s="39"/>
    </row>
    <row r="44" spans="2:4" ht="14.25">
      <c r="B44" s="39"/>
      <c r="C44" s="39"/>
    </row>
    <row r="45" spans="2:4" ht="14.25">
      <c r="B45" s="39"/>
      <c r="C45" s="39"/>
    </row>
    <row r="46" spans="2:4" ht="14.25">
      <c r="B46" s="39"/>
      <c r="C46" s="39"/>
    </row>
    <row r="47" spans="2:4" ht="14.25">
      <c r="B47" s="39"/>
      <c r="C47" s="39"/>
    </row>
    <row r="48" spans="2:4" ht="14.25">
      <c r="B48" s="39"/>
      <c r="C48" s="39"/>
    </row>
    <row r="49" spans="2:3" ht="14.25">
      <c r="B49" s="39"/>
      <c r="C49" s="39"/>
    </row>
    <row r="50" spans="2:3" ht="14.25">
      <c r="B50" s="39"/>
      <c r="C50" s="39"/>
    </row>
    <row r="51" spans="2:3" ht="14.25">
      <c r="B51" s="39"/>
      <c r="C51" s="39"/>
    </row>
    <row r="52" spans="2:3" ht="14.25">
      <c r="B52" s="39"/>
      <c r="C52" s="39"/>
    </row>
    <row r="53" spans="2:3" ht="14.25">
      <c r="B53" s="39"/>
      <c r="C53" s="39"/>
    </row>
    <row r="54" spans="2:3" ht="14.25">
      <c r="B54" s="39"/>
      <c r="C54" s="39"/>
    </row>
    <row r="55" spans="2:3" ht="14.25">
      <c r="B55" s="39"/>
      <c r="C55" s="39"/>
    </row>
    <row r="56" spans="2:3" ht="14.25">
      <c r="B56" s="39"/>
      <c r="C56" s="39"/>
    </row>
  </sheetData>
  <sheetCalcPr fullCalcOnLoad="true"/>
  <sheetProtection password="DC4E" sheet="true" scenarios="true" objects="true"/>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N37"/>
  <sheetViews>
    <sheetView zoomScale="80" zoomScaleNormal="80" workbookViewId="0">
      <selection activeCell="K34" sqref="K34"/>
    </sheetView>
  </sheetViews>
  <sheetFormatPr baseColWidth="10" defaultColWidth="11.42578125" defaultRowHeight="12.75"/>
  <cols>
    <col min="1" max="1" style="40" width="11.42578125" collapsed="false"/>
    <col min="2" max="2" bestFit="true" customWidth="true" style="40" width="13.42578125" collapsed="false"/>
    <col min="3" max="3" customWidth="true" style="40" width="48.42578125" collapsed="false"/>
    <col min="4" max="4" customWidth="true" style="40" width="14.28515625" collapsed="false"/>
    <col min="5" max="5" customWidth="true" style="40" width="14.140625" collapsed="false"/>
    <col min="6" max="8" style="40" width="11.42578125" collapsed="false"/>
    <col min="9" max="9" customWidth="true" style="40" width="2.42578125" collapsed="false"/>
    <col min="10" max="10" customWidth="true" style="40" width="2.7109375" collapsed="false"/>
    <col min="11" max="11" customWidth="true" style="40" width="27.5703125" collapsed="false"/>
    <col min="12" max="12" style="40" width="11.42578125" collapsed="false"/>
    <col min="13" max="13" bestFit="true" customWidth="true" style="40" width="12.28515625" collapsed="false"/>
    <col min="14" max="14" bestFit="true" customWidth="true" style="40" width="9.140625" collapsed="false"/>
    <col min="15" max="15" bestFit="true" customWidth="true" style="40" width="5.5703125" collapsed="false"/>
    <col min="16" max="16" bestFit="true" customWidth="true" style="40" width="8.85546875" collapsed="false"/>
    <col min="17" max="19" customWidth="true" style="40" width="3.5703125" collapsed="false"/>
    <col min="20" max="20" style="40" width="11.42578125" collapsed="false"/>
    <col min="21" max="21" bestFit="true" customWidth="true" style="40" width="14.85546875" collapsed="false"/>
    <col min="22" max="22" bestFit="true" customWidth="true" style="40" width="21.28515625" collapsed="false"/>
    <col min="23" max="25" style="40" width="11.42578125" collapsed="false"/>
    <col min="26" max="26" bestFit="true" customWidth="true" style="40" width="21.28515625" collapsed="false"/>
    <col min="27" max="119" style="40" width="11.42578125" collapsed="false"/>
    <col min="120" max="120" bestFit="true" customWidth="true" style="40" width="14.85546875" collapsed="false"/>
    <col min="121" max="124" style="40" width="11.42578125" collapsed="false"/>
    <col min="125" max="125" bestFit="true" customWidth="true" style="40" width="21.28515625" collapsed="false"/>
    <col min="126" max="16384" style="40" width="11.42578125" collapsed="false"/>
  </cols>
  <sheetData>
    <row r="1" spans="1:170">
      <c r="A1" s="144" t="s">
        <v>124</v>
      </c>
      <c r="B1" s="144"/>
      <c r="C1" s="144" t="s">
        <v>125</v>
      </c>
      <c r="D1" s="144"/>
      <c r="E1" s="144" t="s">
        <v>342</v>
      </c>
      <c r="F1" s="144"/>
      <c r="G1" s="144"/>
      <c r="H1" s="144"/>
      <c r="I1" s="144"/>
      <c r="J1" s="144"/>
      <c r="K1" s="144" t="s">
        <v>345</v>
      </c>
      <c r="L1" s="144"/>
      <c r="M1" s="144"/>
      <c r="T1" s="293" t="s">
        <v>361</v>
      </c>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2" t="s">
        <v>476</v>
      </c>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row>
    <row r="2" spans="1:170">
      <c r="A2" s="40" t="s">
        <v>126</v>
      </c>
      <c r="B2" s="146" t="str">
        <f>'00.Info'!N2</f>
        <v>Versión: 2.0.1</v>
      </c>
      <c r="C2" s="144" t="s">
        <v>127</v>
      </c>
      <c r="D2" s="147" t="n">
        <f>'01.Definición de ámbito'!C7</f>
        <v>0.0</v>
      </c>
      <c r="E2" s="144" t="s">
        <v>293</v>
      </c>
      <c r="F2" s="147" t="str">
        <f>'02.Tecnologías'!C9</f>
        <v>Sí</v>
      </c>
      <c r="G2" s="205" t="s">
        <v>343</v>
      </c>
      <c r="H2" s="205" t="s">
        <v>344</v>
      </c>
      <c r="I2" s="205"/>
      <c r="J2" s="205"/>
      <c r="K2" s="153" t="s">
        <v>346</v>
      </c>
      <c r="L2" s="207" t="n">
        <f>'03.Muestra'!D45</f>
        <v>35.0</v>
      </c>
      <c r="M2" s="144"/>
      <c r="T2" s="145" t="s">
        <v>128</v>
      </c>
      <c r="U2" s="145" t="s">
        <v>129</v>
      </c>
      <c r="V2" s="145" t="s">
        <v>270</v>
      </c>
      <c r="W2" s="145" t="s">
        <v>130</v>
      </c>
      <c r="X2" s="145" t="s">
        <v>341</v>
      </c>
      <c r="Y2" s="145" t="s">
        <v>131</v>
      </c>
      <c r="Z2" s="145" t="s">
        <v>19</v>
      </c>
      <c r="AA2" s="145" t="s">
        <v>98</v>
      </c>
      <c r="AB2" s="145" t="s">
        <v>99</v>
      </c>
      <c r="AC2" s="145" t="s">
        <v>100</v>
      </c>
      <c r="AD2" s="145" t="s">
        <v>101</v>
      </c>
      <c r="AE2" s="145" t="s">
        <v>323</v>
      </c>
      <c r="AF2" s="145" t="s">
        <v>324</v>
      </c>
      <c r="AG2" s="145" t="s">
        <v>325</v>
      </c>
      <c r="AH2" s="145" t="s">
        <v>326</v>
      </c>
      <c r="AI2" s="145" t="s">
        <v>327</v>
      </c>
      <c r="AJ2" s="145" t="s">
        <v>328</v>
      </c>
      <c r="AK2" s="145" t="s">
        <v>329</v>
      </c>
      <c r="AL2" s="145" t="s">
        <v>330</v>
      </c>
      <c r="AM2" s="145" t="s">
        <v>331</v>
      </c>
      <c r="AN2" s="145" t="s">
        <v>332</v>
      </c>
      <c r="AO2" s="145" t="s">
        <v>102</v>
      </c>
      <c r="AP2" s="145" t="s">
        <v>103</v>
      </c>
      <c r="AQ2" s="145" t="s">
        <v>333</v>
      </c>
      <c r="AR2" s="145" t="s">
        <v>104</v>
      </c>
      <c r="AS2" s="145" t="s">
        <v>105</v>
      </c>
      <c r="AT2" s="145" t="s">
        <v>334</v>
      </c>
      <c r="AU2" s="145" t="s">
        <v>335</v>
      </c>
      <c r="AV2" s="145" t="s">
        <v>336</v>
      </c>
      <c r="AW2" s="145" t="s">
        <v>106</v>
      </c>
      <c r="AX2" s="145" t="s">
        <v>107</v>
      </c>
      <c r="AY2" s="145" t="s">
        <v>108</v>
      </c>
      <c r="AZ2" s="145" t="s">
        <v>337</v>
      </c>
      <c r="BA2" s="145" t="s">
        <v>338</v>
      </c>
      <c r="BB2" s="145" t="s">
        <v>109</v>
      </c>
      <c r="BC2" s="145" t="s">
        <v>110</v>
      </c>
      <c r="BD2" s="145" t="s">
        <v>111</v>
      </c>
      <c r="BE2" s="145" t="s">
        <v>112</v>
      </c>
      <c r="BF2" s="145" t="s">
        <v>155</v>
      </c>
      <c r="BG2" s="145" t="s">
        <v>156</v>
      </c>
      <c r="BH2" s="145" t="s">
        <v>157</v>
      </c>
      <c r="BI2" s="145" t="s">
        <v>158</v>
      </c>
      <c r="BJ2" s="145" t="s">
        <v>159</v>
      </c>
      <c r="BK2" s="145" t="s">
        <v>160</v>
      </c>
      <c r="BL2" s="145" t="s">
        <v>161</v>
      </c>
      <c r="BM2" s="145" t="s">
        <v>162</v>
      </c>
      <c r="BN2" s="145" t="s">
        <v>163</v>
      </c>
      <c r="BO2" s="145" t="s">
        <v>164</v>
      </c>
      <c r="BP2" s="145" t="s">
        <v>165</v>
      </c>
      <c r="BQ2" s="145" t="s">
        <v>166</v>
      </c>
      <c r="BR2" s="145" t="s">
        <v>167</v>
      </c>
      <c r="BS2" s="145" t="s">
        <v>168</v>
      </c>
      <c r="BT2" s="145" t="s">
        <v>169</v>
      </c>
      <c r="BU2" s="145" t="s">
        <v>170</v>
      </c>
      <c r="BV2" s="145" t="s">
        <v>171</v>
      </c>
      <c r="BW2" s="145" t="s">
        <v>172</v>
      </c>
      <c r="BX2" s="145" t="s">
        <v>173</v>
      </c>
      <c r="BY2" s="145" t="s">
        <v>174</v>
      </c>
      <c r="BZ2" s="145" t="s">
        <v>175</v>
      </c>
      <c r="CA2" s="145" t="s">
        <v>176</v>
      </c>
      <c r="CB2" s="145" t="s">
        <v>177</v>
      </c>
      <c r="CC2" s="145" t="s">
        <v>178</v>
      </c>
      <c r="CD2" s="145" t="s">
        <v>179</v>
      </c>
      <c r="CE2" s="145" t="s">
        <v>241</v>
      </c>
      <c r="CF2" s="145" t="s">
        <v>242</v>
      </c>
      <c r="CG2" s="145" t="s">
        <v>180</v>
      </c>
      <c r="CH2" s="145" t="s">
        <v>181</v>
      </c>
      <c r="CI2" s="145" t="s">
        <v>243</v>
      </c>
      <c r="CJ2" s="145" t="s">
        <v>182</v>
      </c>
      <c r="CK2" s="145" t="s">
        <v>183</v>
      </c>
      <c r="CL2" s="145" t="s">
        <v>184</v>
      </c>
      <c r="CM2" s="145" t="s">
        <v>185</v>
      </c>
      <c r="CN2" s="145" t="s">
        <v>186</v>
      </c>
      <c r="CO2" s="145" t="s">
        <v>187</v>
      </c>
      <c r="CP2" s="145" t="s">
        <v>188</v>
      </c>
      <c r="CQ2" s="145" t="s">
        <v>244</v>
      </c>
      <c r="CR2" s="145" t="s">
        <v>189</v>
      </c>
      <c r="CS2" s="145" t="s">
        <v>190</v>
      </c>
      <c r="CT2" s="145" t="s">
        <v>245</v>
      </c>
      <c r="CU2" s="145" t="s">
        <v>246</v>
      </c>
      <c r="CV2" s="145" t="s">
        <v>191</v>
      </c>
      <c r="CW2" s="145" t="s">
        <v>192</v>
      </c>
      <c r="CX2" s="145" t="s">
        <v>193</v>
      </c>
      <c r="CY2" s="145" t="s">
        <v>194</v>
      </c>
      <c r="CZ2" s="145" t="s">
        <v>195</v>
      </c>
      <c r="DA2" s="145" t="s">
        <v>196</v>
      </c>
      <c r="DB2" s="145" t="s">
        <v>247</v>
      </c>
      <c r="DC2" s="145" t="s">
        <v>467</v>
      </c>
      <c r="DD2" s="145" t="s">
        <v>113</v>
      </c>
      <c r="DE2" s="145" t="s">
        <v>114</v>
      </c>
      <c r="DF2" s="145" t="s">
        <v>115</v>
      </c>
      <c r="DG2" s="145" t="s">
        <v>116</v>
      </c>
      <c r="DH2" s="145" t="s">
        <v>117</v>
      </c>
      <c r="DI2" s="145" t="s">
        <v>118</v>
      </c>
      <c r="DJ2" s="145" t="s">
        <v>119</v>
      </c>
      <c r="DK2" s="145" t="s">
        <v>120</v>
      </c>
      <c r="DL2" s="145" t="s">
        <v>121</v>
      </c>
      <c r="DM2" s="145" t="s">
        <v>122</v>
      </c>
      <c r="DN2" s="145" t="s">
        <v>123</v>
      </c>
      <c r="DO2" s="145" t="s">
        <v>128</v>
      </c>
      <c r="DP2" s="145" t="s">
        <v>129</v>
      </c>
      <c r="DQ2" s="145" t="s">
        <v>270</v>
      </c>
      <c r="DR2" s="145" t="s">
        <v>130</v>
      </c>
      <c r="DS2" s="145" t="s">
        <v>341</v>
      </c>
      <c r="DT2" s="145" t="s">
        <v>131</v>
      </c>
      <c r="DU2" s="145" t="s">
        <v>19</v>
      </c>
      <c r="DV2" s="145" t="s">
        <v>197</v>
      </c>
      <c r="DW2" s="144" t="s">
        <v>198</v>
      </c>
      <c r="DX2" s="144" t="s">
        <v>199</v>
      </c>
      <c r="DY2" s="144" t="s">
        <v>200</v>
      </c>
      <c r="DZ2" s="144" t="s">
        <v>201</v>
      </c>
      <c r="EA2" s="144" t="s">
        <v>202</v>
      </c>
      <c r="EB2" s="144" t="s">
        <v>203</v>
      </c>
      <c r="EC2" s="144" t="s">
        <v>204</v>
      </c>
      <c r="ED2" s="144" t="s">
        <v>205</v>
      </c>
      <c r="EE2" s="144" t="s">
        <v>206</v>
      </c>
      <c r="EF2" s="144" t="s">
        <v>207</v>
      </c>
      <c r="EG2" s="144" t="s">
        <v>208</v>
      </c>
      <c r="EH2" s="144" t="s">
        <v>209</v>
      </c>
      <c r="EI2" s="144" t="s">
        <v>210</v>
      </c>
      <c r="EJ2" s="144" t="s">
        <v>211</v>
      </c>
      <c r="EK2" s="144" t="s">
        <v>212</v>
      </c>
      <c r="EL2" s="144" t="s">
        <v>213</v>
      </c>
      <c r="EM2" s="144" t="s">
        <v>214</v>
      </c>
      <c r="EN2" s="144" t="s">
        <v>215</v>
      </c>
      <c r="EO2" s="144" t="s">
        <v>216</v>
      </c>
      <c r="EP2" s="144" t="s">
        <v>217</v>
      </c>
      <c r="EQ2" s="144" t="s">
        <v>218</v>
      </c>
      <c r="ER2" s="144" t="s">
        <v>219</v>
      </c>
      <c r="ES2" s="144" t="s">
        <v>220</v>
      </c>
      <c r="ET2" s="144" t="s">
        <v>221</v>
      </c>
      <c r="EU2" s="144" t="s">
        <v>240</v>
      </c>
      <c r="EV2" s="144" t="s">
        <v>222</v>
      </c>
      <c r="EW2" s="144" t="s">
        <v>223</v>
      </c>
      <c r="EX2" s="144" t="s">
        <v>224</v>
      </c>
      <c r="EY2" s="144" t="s">
        <v>225</v>
      </c>
      <c r="EZ2" s="144" t="s">
        <v>226</v>
      </c>
      <c r="FA2" s="144" t="s">
        <v>227</v>
      </c>
      <c r="FB2" s="144" t="s">
        <v>228</v>
      </c>
      <c r="FC2" s="144" t="s">
        <v>229</v>
      </c>
      <c r="FD2" s="144" t="s">
        <v>230</v>
      </c>
      <c r="FE2" s="144" t="s">
        <v>239</v>
      </c>
      <c r="FF2" s="144" t="s">
        <v>231</v>
      </c>
      <c r="FG2" s="144" t="s">
        <v>232</v>
      </c>
      <c r="FH2" s="144" t="s">
        <v>233</v>
      </c>
      <c r="FI2" s="144" t="s">
        <v>234</v>
      </c>
      <c r="FJ2" s="144" t="s">
        <v>235</v>
      </c>
      <c r="FK2" s="144" t="s">
        <v>236</v>
      </c>
      <c r="FL2" s="144" t="s">
        <v>237</v>
      </c>
      <c r="FM2" s="144" t="s">
        <v>238</v>
      </c>
      <c r="FN2" s="144" t="s">
        <v>351</v>
      </c>
    </row>
    <row r="3" spans="1:170">
      <c r="C3" s="144" t="s">
        <v>132</v>
      </c>
      <c r="D3" s="147" t="n">
        <f>'01.Definición de ámbito'!C9</f>
        <v>0.0</v>
      </c>
      <c r="E3" s="144" t="s">
        <v>296</v>
      </c>
      <c r="F3" s="147" t="str">
        <f>'02.Tecnologías'!C10</f>
        <v>No</v>
      </c>
      <c r="G3" s="147" t="n">
        <f>'02.Tecnologías'!K13</f>
        <v>0.0</v>
      </c>
      <c r="H3" s="147" t="n">
        <f>'02.Tecnologías'!L13</f>
        <v>0.0</v>
      </c>
      <c r="I3" s="206"/>
      <c r="J3" s="206"/>
      <c r="K3" s="153" t="s">
        <v>347</v>
      </c>
      <c r="L3" s="207" t="n">
        <f>'03.Muestra'!D47</f>
        <v>35.0</v>
      </c>
      <c r="M3" s="144"/>
      <c r="T3" s="148" t="n">
        <f>RESULTADOS!B20</f>
        <v>1.0</v>
      </c>
      <c r="U3" s="148" t="str">
        <f>RESULTADOS!C20</f>
        <v>Home - PortCastelló</v>
      </c>
      <c r="V3" s="148" t="str">
        <f>IF(T3&lt;&gt;"","Página web","")</f>
        <v>Página web</v>
      </c>
      <c r="W3" s="148" t="str">
        <f t="array" ref="W3:W37">IFERROR(INDEX('03.Muestra'!$E$8:$E$42,SMALL(IF("Página Web"='03.Muestra'!$D$8:$D$42,ROW('03.Muestra'!$E$8:$E$42)-MIN(ROW('03.Muestra'!$D$8:$D$42))+1,""),ROW()-2)),"")</f>
        <v/>
      </c>
      <c r="X3" s="148" t="str">
        <f>RESULTADOS!D20</f>
        <v>https://www.portcastello.com/</v>
      </c>
      <c r="Y3" s="148" t="n">
        <f t="array" ref="Y3:Y37">IFERROR(INDEX('03.Muestra'!$G$8:$G$42,SMALL(IF("Página Web"='03.Muestra'!$D$8:$D$42,ROW('03.Muestra'!$G$8:$GE$42)-MIN(ROW('03.Muestra'!$D$8:$D$42))+1,""),ROW()-2)),"")</f>
        <v>0.0</v>
      </c>
      <c r="Z3" s="237" t="str">
        <f t="array" ref="Z3:Z37">IFERROR(INDEX('03.Muestra'!$H$8:$H$42,SMALL(IF("Página Web"='03.Muestra'!$D$8:$D$42,ROW('03.Muestra'!$H$8:$H$42)-MIN(ROW('03.Muestra'!$D$8:$D$42))+1,""),ROW()-2)),"")</f>
        <v>Ej. Imágenes, tablas, listas, multimedia, formularios, plantilla X, plantilla Y</v>
      </c>
      <c r="AA3" s="146" t="str">
        <f ca="1">RESULTADOS!E20</f>
        <v>N/T</v>
      </c>
      <c r="AB3" s="146" t="str">
        <f ca="1">RESULTADOS!F20</f>
        <v>N/T</v>
      </c>
      <c r="AC3" s="146" t="str">
        <f ca="1">RESULTADOS!G20</f>
        <v>N/T</v>
      </c>
      <c r="AD3" s="146" t="str">
        <f ca="1">RESULTADOS!H20</f>
        <v>N/T</v>
      </c>
      <c r="AE3" s="146" t="str">
        <f ca="1">RESULTADOS!I20</f>
        <v>N/T</v>
      </c>
      <c r="AF3" s="146" t="str">
        <f ca="1">RESULTADOS!J20</f>
        <v>N/T</v>
      </c>
      <c r="AG3" s="146" t="str">
        <f ca="1">RESULTADOS!K20</f>
        <v>N/T</v>
      </c>
      <c r="AH3" s="146" t="str">
        <f ca="1">RESULTADOS!L20</f>
        <v>N/T</v>
      </c>
      <c r="AI3" s="146" t="str">
        <f ca="1">RESULTADOS!M20</f>
        <v>N/T</v>
      </c>
      <c r="AJ3" s="146" t="str">
        <f ca="1">RESULTADOS!N20</f>
        <v>N/T</v>
      </c>
      <c r="AK3" s="146" t="str">
        <f ca="1">RESULTADOS!O20</f>
        <v>N/T</v>
      </c>
      <c r="AL3" s="146" t="str">
        <f ca="1">RESULTADOS!P20</f>
        <v>N/T</v>
      </c>
      <c r="AM3" s="146" t="str">
        <f ca="1">RESULTADOS!Q20</f>
        <v>N/T</v>
      </c>
      <c r="AN3" s="146" t="str">
        <f ca="1">RESULTADOS!R20</f>
        <v>N/T</v>
      </c>
      <c r="AO3" s="146" t="str">
        <f ca="1">RESULTADOS!S20</f>
        <v>N/T</v>
      </c>
      <c r="AP3" s="146" t="str">
        <f ca="1">RESULTADOS!T20</f>
        <v>N/T</v>
      </c>
      <c r="AQ3" s="146" t="str">
        <f ca="1">RESULTADOS!U20</f>
        <v>N/T</v>
      </c>
      <c r="AR3" s="146" t="str">
        <f ca="1">RESULTADOS!V20</f>
        <v>N/T</v>
      </c>
      <c r="AS3" s="146" t="str">
        <f ca="1">RESULTADOS!W20</f>
        <v>N/T</v>
      </c>
      <c r="AT3" s="146" t="str">
        <f ca="1">RESULTADOS!X20</f>
        <v>N/T</v>
      </c>
      <c r="AU3" s="146" t="str">
        <f ca="1">RESULTADOS!Y20</f>
        <v>N/T</v>
      </c>
      <c r="AV3" s="146" t="str">
        <f ca="1">RESULTADOS!Z20</f>
        <v>N/T</v>
      </c>
      <c r="AW3" s="146" t="str">
        <f ca="1">RESULTADOS!AA20</f>
        <v>N/T</v>
      </c>
      <c r="AX3" s="146" t="str">
        <f ca="1">RESULTADOS!AB20</f>
        <v>N/T</v>
      </c>
      <c r="AY3" s="146" t="str">
        <f ca="1">RESULTADOS!AC20</f>
        <v>N/T</v>
      </c>
      <c r="AZ3" s="146" t="str">
        <f ca="1">RESULTADOS!AD20</f>
        <v>N/T</v>
      </c>
      <c r="BA3" s="146" t="str">
        <f ca="1">RESULTADOS!AE20</f>
        <v>N/T</v>
      </c>
      <c r="BB3" s="146" t="str">
        <f ca="1">RESULTADOS!AF20</f>
        <v>N/T</v>
      </c>
      <c r="BC3" s="146" t="str">
        <f ca="1">RESULTADOS!AG20</f>
        <v>N/T</v>
      </c>
      <c r="BD3" s="146" t="str">
        <f ca="1">RESULTADOS!AH20</f>
        <v>N/T</v>
      </c>
      <c r="BE3" s="146" t="str">
        <f ca="1">RESULTADOS!AI20</f>
        <v>N/T</v>
      </c>
      <c r="BF3" s="146" t="str">
        <f ca="1">RESULTADOS!AJ20</f>
        <v>N/D</v>
      </c>
      <c r="BG3" s="146" t="str">
        <f ca="1">RESULTADOS!AK20</f>
        <v>N/T</v>
      </c>
      <c r="BH3" s="146" t="str">
        <f ca="1">RESULTADOS!AL20</f>
        <v>N/T</v>
      </c>
      <c r="BI3" s="146" t="str">
        <f ca="1">RESULTADOS!AM20</f>
        <v>N/T</v>
      </c>
      <c r="BJ3" s="146" t="str">
        <f ca="1">RESULTADOS!AN20</f>
        <v>N/T</v>
      </c>
      <c r="BK3" s="146" t="str">
        <f ca="1">RESULTADOS!AO20</f>
        <v>N/D</v>
      </c>
      <c r="BL3" s="146" t="str">
        <f ca="1">RESULTADOS!AP20</f>
        <v>N/T</v>
      </c>
      <c r="BM3" s="146" t="str">
        <f ca="1">RESULTADOS!AQ20</f>
        <v>N/T</v>
      </c>
      <c r="BN3" s="146" t="str">
        <f ca="1">RESULTADOS!AR20</f>
        <v>N/D</v>
      </c>
      <c r="BO3" s="146" t="str">
        <f ca="1">RESULTADOS!AS20</f>
        <v>N/D</v>
      </c>
      <c r="BP3" s="146" t="str">
        <f ca="1">RESULTADOS!AT20</f>
        <v>N/T</v>
      </c>
      <c r="BQ3" s="146" t="str">
        <f ca="1">RESULTADOS!AU20</f>
        <v>N/T</v>
      </c>
      <c r="BR3" s="146" t="str">
        <f ca="1">RESULTADOS!AV20</f>
        <v>N/D</v>
      </c>
      <c r="BS3" s="146" t="str">
        <f ca="1">RESULTADOS!AW20</f>
        <v>N/T</v>
      </c>
      <c r="BT3" s="146" t="str">
        <f ca="1">RESULTADOS!AX20</f>
        <v>N/T</v>
      </c>
      <c r="BU3" s="146" t="str">
        <f ca="1">RESULTADOS!AY20</f>
        <v>N/D</v>
      </c>
      <c r="BV3" s="146" t="str">
        <f ca="1">RESULTADOS!AZ20</f>
        <v>N/T</v>
      </c>
      <c r="BW3" s="146" t="str">
        <f ca="1">RESULTADOS!BA20</f>
        <v>N/D</v>
      </c>
      <c r="BX3" s="146" t="str">
        <f ca="1">RESULTADOS!BB20</f>
        <v>N/T</v>
      </c>
      <c r="BY3" s="146" t="str">
        <f ca="1">RESULTADOS!BC20</f>
        <v>N/D</v>
      </c>
      <c r="BZ3" s="146" t="str">
        <f ca="1">RESULTADOS!BD20</f>
        <v>N/T</v>
      </c>
      <c r="CA3" s="146" t="str">
        <f ca="1">RESULTADOS!BE20</f>
        <v>N/T</v>
      </c>
      <c r="CB3" s="146" t="str">
        <f ca="1">RESULTADOS!BF20</f>
        <v>N/D</v>
      </c>
      <c r="CC3" s="146" t="str">
        <f ca="1">RESULTADOS!BG20</f>
        <v>N/D</v>
      </c>
      <c r="CD3" s="146" t="str">
        <f ca="1">RESULTADOS!BH20</f>
        <v>N/T</v>
      </c>
      <c r="CE3" s="146" t="str">
        <f ca="1">RESULTADOS!BI20</f>
        <v>N/D</v>
      </c>
      <c r="CF3" s="146" t="str">
        <f ca="1">RESULTADOS!BJ20</f>
        <v>N/D</v>
      </c>
      <c r="CG3" s="146" t="str">
        <f ca="1">RESULTADOS!BK20</f>
        <v>N/D</v>
      </c>
      <c r="CH3" s="146" t="str">
        <f ca="1">RESULTADOS!BL20</f>
        <v>N/D</v>
      </c>
      <c r="CI3" s="146" t="str">
        <f ca="1">RESULTADOS!BM20</f>
        <v>N/D</v>
      </c>
      <c r="CJ3" s="146" t="str">
        <f ca="1">RESULTADOS!BN20</f>
        <v>N/T</v>
      </c>
      <c r="CK3" s="146" t="str">
        <f ca="1">RESULTADOS!BO20</f>
        <v>N/D</v>
      </c>
      <c r="CL3" s="146" t="str">
        <f ca="1">RESULTADOS!BP20</f>
        <v>N/T</v>
      </c>
      <c r="CM3" s="146" t="str">
        <f ca="1">RESULTADOS!BQ20</f>
        <v>N/T</v>
      </c>
      <c r="CN3" s="146" t="str">
        <f ca="1">RESULTADOS!BR20</f>
        <v>N/D</v>
      </c>
      <c r="CO3" s="146" t="str">
        <f ca="1">RESULTADOS!BS20</f>
        <v>N/T</v>
      </c>
      <c r="CP3" s="146" t="str">
        <f ca="1">RESULTADOS!BT20</f>
        <v>N/D</v>
      </c>
      <c r="CQ3" s="146" t="str">
        <f ca="1">RESULTADOS!BU20</f>
        <v>N/D</v>
      </c>
      <c r="CR3" s="146" t="str">
        <f ca="1">RESULTADOS!BV20</f>
        <v>N/D</v>
      </c>
      <c r="CS3" s="146" t="str">
        <f ca="1">RESULTADOS!BW20</f>
        <v>N/D</v>
      </c>
      <c r="CT3" s="146" t="str">
        <f ca="1">RESULTADOS!BX20</f>
        <v>N/D</v>
      </c>
      <c r="CU3" s="146" t="str">
        <f ca="1">RESULTADOS!BY20</f>
        <v>N/T</v>
      </c>
      <c r="CV3" s="146" t="str">
        <f ca="1">RESULTADOS!BZ20</f>
        <v>N/T</v>
      </c>
      <c r="CW3" s="146" t="str">
        <f ca="1">RESULTADOS!CA20</f>
        <v>N/D</v>
      </c>
      <c r="CX3" s="146" t="str">
        <f ca="1">RESULTADOS!CB20</f>
        <v>N/T</v>
      </c>
      <c r="CY3" s="146" t="str">
        <f ca="1">RESULTADOS!CC20</f>
        <v>N/T</v>
      </c>
      <c r="CZ3" s="146" t="str">
        <f ca="1">RESULTADOS!CD20</f>
        <v>N/T</v>
      </c>
      <c r="DA3" s="146" t="str">
        <f ca="1">RESULTADOS!CE20</f>
        <v>N/D</v>
      </c>
      <c r="DB3" s="146" t="str">
        <f ca="1">RESULTADOS!CF20</f>
        <v>N/T</v>
      </c>
      <c r="DC3" s="146" t="str">
        <f ca="1">RESULTADOS!CG20</f>
        <v>N/T</v>
      </c>
      <c r="DD3" s="146" t="str">
        <f ca="1">RESULTADOS!CH20</f>
        <v>N/T</v>
      </c>
      <c r="DE3" s="146" t="str">
        <f ca="1">RESULTADOS!CI20</f>
        <v>N/T</v>
      </c>
      <c r="DF3" s="146" t="str">
        <f ca="1">RESULTADOS!CJ20</f>
        <v>N/T</v>
      </c>
      <c r="DG3" s="146" t="str">
        <f ca="1">RESULTADOS!CK20</f>
        <v>N/T</v>
      </c>
      <c r="DH3" s="146" t="str">
        <f ca="1">RESULTADOS!CL20</f>
        <v>N/T</v>
      </c>
      <c r="DI3" s="146" t="str">
        <f ca="1">RESULTADOS!CM20</f>
        <v>N/T</v>
      </c>
      <c r="DJ3" s="146" t="str">
        <f ca="1">RESULTADOS!CN20</f>
        <v>N/T</v>
      </c>
      <c r="DK3" s="146" t="str">
        <f ca="1">RESULTADOS!CO20</f>
        <v>N/T</v>
      </c>
      <c r="DL3" s="146" t="str">
        <f ca="1">RESULTADOS!CP20</f>
        <v>N/T</v>
      </c>
      <c r="DM3" s="146" t="str">
        <f ca="1">RESULTADOS!CQ20</f>
        <v>N/T</v>
      </c>
      <c r="DN3" s="146" t="str">
        <f ca="1">RESULTADOS!CR20</f>
        <v>N/T</v>
      </c>
      <c r="DO3" s="148" t="n">
        <f>RESULTADOS!B61</f>
        <v>1.0</v>
      </c>
      <c r="DP3" s="148" t="str">
        <f>RESULTADOS!C61</f>
        <v>Home - PortCastelló</v>
      </c>
      <c r="DQ3" s="148" t="str">
        <f>IF(DO3&lt;&gt;"","Documento no web","")</f>
        <v>Documento no web</v>
      </c>
      <c r="DR3" s="148" t="str" cm="1">
        <f t="array" ref="DR3">IFERROR(INDEX('03.Muestra'!$E$8:$E$42,SMALL(IF("Documento no web"='03.Muestra'!$D$8:$D$42,ROW('03.Muestra'!$E$8:$E$42)-MIN(ROW('03.Muestra'!$D$8:$D$42))+1,""),ROW()-2)),"")</f>
        <v/>
      </c>
      <c r="DS3" s="148" t="str">
        <f>RESULTADOS!D61</f>
        <v>https://www.portcastello.com/</v>
      </c>
      <c r="DT3" s="148" t="n" cm="1">
        <f t="array" ref="DT3">IFERROR(INDEX('03.Muestra'!$G$8:$G$42,SMALL(IF("Documento no web"='03.Muestra'!$D$8:$D$42,ROW('03.Muestra'!$G$8:$G$42)-MIN(ROW('03.Muestra'!$D$8:$D$42))+1,""),ROW()-2)),"")</f>
        <v>0.0</v>
      </c>
      <c r="DU3" s="237" t="str" cm="1">
        <f t="array" ref="DU3">IFERROR(INDEX('03.Muestra'!$H$8:$H$42,SMALL(IF("Documento no web"='03.Muestra'!$D$8:$D$42,ROW('03.Muestra'!$H$8:$H$42)-MIN(ROW('03.Muestra'!$D$8:$D$42))+1,""),ROW()-2)),"")</f>
        <v>Ej. Imágenes, tablas, listas, multimedia, formularios, plantilla X, plantilla Y</v>
      </c>
      <c r="DV3" s="146" t="str">
        <f ca="1">RESULTADOS!E61</f>
        <v>N/D</v>
      </c>
      <c r="DW3" s="146" t="str">
        <f ca="1">RESULTADOS!F61</f>
        <v>N/T</v>
      </c>
      <c r="DX3" s="146" t="str">
        <f ca="1">RESULTADOS!G61</f>
        <v>N/T</v>
      </c>
      <c r="DY3" s="146" t="str">
        <f ca="1">RESULTADOS!H61</f>
        <v>N/T</v>
      </c>
      <c r="DZ3" s="146" t="str">
        <f ca="1">RESULTADOS!I61</f>
        <v>N/T</v>
      </c>
      <c r="EA3" s="146" t="str">
        <f ca="1">RESULTADOS!J61</f>
        <v>Falla</v>
      </c>
      <c r="EB3" s="146" t="str">
        <f ca="1">RESULTADOS!K61</f>
        <v>N/T</v>
      </c>
      <c r="EC3" s="146" t="str">
        <f ca="1">RESULTADOS!L61</f>
        <v>N/T</v>
      </c>
      <c r="ED3" s="146" t="str">
        <f ca="1">RESULTADOS!M61</f>
        <v>N/T</v>
      </c>
      <c r="EE3" s="146" t="str">
        <f ca="1">RESULTADOS!N61</f>
        <v>N/T</v>
      </c>
      <c r="EF3" s="146" t="str">
        <f ca="1">RESULTADOS!O61</f>
        <v>N/T</v>
      </c>
      <c r="EG3" s="146" t="str">
        <f ca="1">RESULTADOS!P61</f>
        <v>N/T</v>
      </c>
      <c r="EH3" s="146" t="str">
        <f ca="1">RESULTADOS!Q61</f>
        <v>N/T</v>
      </c>
      <c r="EI3" s="146" t="str">
        <f ca="1">RESULTADOS!R61</f>
        <v>N/T</v>
      </c>
      <c r="EJ3" s="146" t="str">
        <f ca="1">RESULTADOS!S61</f>
        <v>N/T</v>
      </c>
      <c r="EK3" s="146" t="str">
        <f ca="1">RESULTADOS!T61</f>
        <v>N/T</v>
      </c>
      <c r="EL3" s="146" t="str">
        <f ca="1">RESULTADOS!U61</f>
        <v>N/T</v>
      </c>
      <c r="EM3" s="146" t="str">
        <f ca="1">RESULTADOS!V61</f>
        <v>N/T</v>
      </c>
      <c r="EN3" s="146" t="str">
        <f ca="1">RESULTADOS!W61</f>
        <v>N/T</v>
      </c>
      <c r="EO3" s="146" t="str">
        <f ca="1">RESULTADOS!X61</f>
        <v>N/T</v>
      </c>
      <c r="EP3" s="146" t="str">
        <f ca="1">RESULTADOS!Y61</f>
        <v>N/T</v>
      </c>
      <c r="EQ3" s="146" t="str">
        <f ca="1">RESULTADOS!Z61</f>
        <v>N/T</v>
      </c>
      <c r="ER3" s="146" t="str">
        <f ca="1">RESULTADOS!AA61</f>
        <v>N/T</v>
      </c>
      <c r="ES3" s="146" t="str">
        <f ca="1">RESULTADOS!AB61</f>
        <v>N/T</v>
      </c>
      <c r="ET3" s="146" t="str">
        <f ca="1">RESULTADOS!AC61</f>
        <v>N/T</v>
      </c>
      <c r="EU3" s="146" t="str">
        <f ca="1">RESULTADOS!AD61</f>
        <v>N/D</v>
      </c>
      <c r="EV3" s="146" t="str">
        <f ca="1">RESULTADOS!AE61</f>
        <v>N/T</v>
      </c>
      <c r="EW3" s="146" t="str">
        <f ca="1">RESULTADOS!AF61</f>
        <v>N/T</v>
      </c>
      <c r="EX3" s="146" t="str">
        <f ca="1">RESULTADOS!AG61</f>
        <v>N/T</v>
      </c>
      <c r="EY3" s="146" t="str">
        <f ca="1">RESULTADOS!AH61</f>
        <v>N/T</v>
      </c>
      <c r="EZ3" s="146" t="str">
        <f ca="1">RESULTADOS!AI61</f>
        <v>N/T</v>
      </c>
      <c r="FA3" s="146" t="str">
        <f ca="1">RESULTADOS!AJ61</f>
        <v>N/T</v>
      </c>
      <c r="FB3" s="146" t="str">
        <f ca="1">RESULTADOS!AK61</f>
        <v>N/T</v>
      </c>
      <c r="FC3" s="146" t="str">
        <f ca="1">RESULTADOS!AL61</f>
        <v>N/T</v>
      </c>
      <c r="FD3" s="146" t="str">
        <f ca="1">RESULTADOS!AM61</f>
        <v>N/D</v>
      </c>
      <c r="FE3" s="146" t="str">
        <f ca="1">RESULTADOS!AN61</f>
        <v>N/T</v>
      </c>
      <c r="FF3" s="146" t="str">
        <f ca="1">RESULTADOS!AO61</f>
        <v>N/T</v>
      </c>
      <c r="FG3" s="146" t="str">
        <f ca="1">RESULTADOS!AP61</f>
        <v>N/T</v>
      </c>
      <c r="FH3" s="146" t="str">
        <f ca="1">RESULTADOS!AQ61</f>
        <v>N/T</v>
      </c>
      <c r="FI3" s="146" t="str">
        <f ca="1">RESULTADOS!AR61</f>
        <v>N/T</v>
      </c>
      <c r="FJ3" s="146" t="str">
        <f ca="1">RESULTADOS!AS61</f>
        <v>N/T</v>
      </c>
      <c r="FK3" s="146" t="str">
        <f ca="1">RESULTADOS!AT61</f>
        <v>N/T</v>
      </c>
      <c r="FL3" s="146" t="str">
        <f ca="1">RESULTADOS!AU61</f>
        <v>N/T</v>
      </c>
      <c r="FM3" s="146" t="str">
        <f ca="1">RESULTADOS!AV61</f>
        <v>N/D</v>
      </c>
      <c r="FN3" s="146" t="str">
        <f ca="1">RESULTADOS!AW61</f>
        <v>N/T</v>
      </c>
    </row>
    <row r="4" spans="1:170">
      <c r="C4" s="144" t="s">
        <v>135</v>
      </c>
      <c r="D4" s="147" t="n">
        <f>'01.Definición de ámbito'!C11</f>
        <v>0.0</v>
      </c>
      <c r="E4" s="144" t="s">
        <v>299</v>
      </c>
      <c r="F4" s="147" t="str">
        <f>'02.Tecnologías'!C11</f>
        <v>No</v>
      </c>
      <c r="G4" s="147" t="n">
        <f>'02.Tecnologías'!K14</f>
        <v>0.0</v>
      </c>
      <c r="H4" s="147" t="n">
        <f>'02.Tecnologías'!L14</f>
        <v>0.0</v>
      </c>
      <c r="I4" s="206"/>
      <c r="J4" s="206"/>
      <c r="K4" s="153" t="s">
        <v>348</v>
      </c>
      <c r="L4" s="207" t="n">
        <f>'03.Muestra'!D49</f>
        <v>0.0</v>
      </c>
      <c r="M4" s="144"/>
      <c r="T4" s="148" t="n">
        <f>RESULTADOS!B21</f>
        <v>1.0</v>
      </c>
      <c r="U4" s="148" t="str">
        <f>RESULTADOS!C21</f>
        <v>Home - PortCastelló</v>
      </c>
      <c r="V4" s="148" t="str">
        <f t="shared" ref="V4:V37" si="0">IF(T4&lt;&gt;"","Página web","")</f>
        <v>Página web</v>
      </c>
      <c r="W4" s="148" t="str">
        <v/>
      </c>
      <c r="X4" s="148" t="str">
        <f>RESULTADOS!D21</f>
        <v>https://www.portcastello.com/</v>
      </c>
      <c r="Y4" s="148" t="n">
        <v>0.0</v>
      </c>
      <c r="Z4" s="237" t="str">
        <v>Ej. Imágenes, tablas, listas, multimedia, formularios, plantilla X, plantilla Y</v>
      </c>
      <c r="AA4" s="146" t="str">
        <f ca="1">RESULTADOS!E21</f>
        <v>N/T</v>
      </c>
      <c r="AB4" s="146" t="str">
        <f ca="1">RESULTADOS!F21</f>
        <v>N/T</v>
      </c>
      <c r="AC4" s="146" t="str">
        <f ca="1">RESULTADOS!G21</f>
        <v>N/T</v>
      </c>
      <c r="AD4" s="146" t="str">
        <f ca="1">RESULTADOS!H21</f>
        <v>N/T</v>
      </c>
      <c r="AE4" s="146" t="str">
        <f ca="1">RESULTADOS!I21</f>
        <v>N/T</v>
      </c>
      <c r="AF4" s="146" t="str">
        <f ca="1">RESULTADOS!J21</f>
        <v>N/T</v>
      </c>
      <c r="AG4" s="146" t="str">
        <f ca="1">RESULTADOS!K21</f>
        <v>N/T</v>
      </c>
      <c r="AH4" s="146" t="str">
        <f ca="1">RESULTADOS!L21</f>
        <v>N/T</v>
      </c>
      <c r="AI4" s="146" t="str">
        <f ca="1">RESULTADOS!M21</f>
        <v>N/T</v>
      </c>
      <c r="AJ4" s="146" t="str">
        <f ca="1">RESULTADOS!N21</f>
        <v>N/T</v>
      </c>
      <c r="AK4" s="146" t="str">
        <f ca="1">RESULTADOS!O21</f>
        <v>N/T</v>
      </c>
      <c r="AL4" s="146" t="str">
        <f ca="1">RESULTADOS!P21</f>
        <v>N/T</v>
      </c>
      <c r="AM4" s="146" t="str">
        <f ca="1">RESULTADOS!Q21</f>
        <v>N/T</v>
      </c>
      <c r="AN4" s="146" t="str">
        <f ca="1">RESULTADOS!R21</f>
        <v>N/T</v>
      </c>
      <c r="AO4" s="146" t="str">
        <f ca="1">RESULTADOS!S21</f>
        <v>N/T</v>
      </c>
      <c r="AP4" s="146" t="str">
        <f ca="1">RESULTADOS!T21</f>
        <v>N/T</v>
      </c>
      <c r="AQ4" s="146" t="str">
        <f ca="1">RESULTADOS!U21</f>
        <v>N/T</v>
      </c>
      <c r="AR4" s="146" t="str">
        <f ca="1">RESULTADOS!V21</f>
        <v>N/T</v>
      </c>
      <c r="AS4" s="146" t="str">
        <f ca="1">RESULTADOS!W21</f>
        <v>N/T</v>
      </c>
      <c r="AT4" s="146" t="str">
        <f ca="1">RESULTADOS!X21</f>
        <v>N/T</v>
      </c>
      <c r="AU4" s="146" t="str">
        <f ca="1">RESULTADOS!Y21</f>
        <v>N/T</v>
      </c>
      <c r="AV4" s="146" t="str">
        <f ca="1">RESULTADOS!Z21</f>
        <v>N/T</v>
      </c>
      <c r="AW4" s="146" t="str">
        <f ca="1">RESULTADOS!AA21</f>
        <v>N/T</v>
      </c>
      <c r="AX4" s="146" t="str">
        <f ca="1">RESULTADOS!AB21</f>
        <v>N/T</v>
      </c>
      <c r="AY4" s="146" t="str">
        <f ca="1">RESULTADOS!AC21</f>
        <v>N/T</v>
      </c>
      <c r="AZ4" s="146" t="str">
        <f ca="1">RESULTADOS!AD21</f>
        <v>N/T</v>
      </c>
      <c r="BA4" s="146" t="str">
        <f ca="1">RESULTADOS!AE21</f>
        <v>N/T</v>
      </c>
      <c r="BB4" s="146" t="str">
        <f ca="1">RESULTADOS!AF21</f>
        <v>N/T</v>
      </c>
      <c r="BC4" s="146" t="str">
        <f ca="1">RESULTADOS!AG21</f>
        <v>N/T</v>
      </c>
      <c r="BD4" s="146" t="str">
        <f ca="1">RESULTADOS!AH21</f>
        <v>N/T</v>
      </c>
      <c r="BE4" s="146" t="str">
        <f ca="1">RESULTADOS!AI21</f>
        <v>N/T</v>
      </c>
      <c r="BF4" s="146" t="str">
        <f ca="1">RESULTADOS!AJ21</f>
        <v>N/D</v>
      </c>
      <c r="BG4" s="146" t="str">
        <f ca="1">RESULTADOS!AK21</f>
        <v>N/T</v>
      </c>
      <c r="BH4" s="146" t="str">
        <f ca="1">RESULTADOS!AL21</f>
        <v>N/T</v>
      </c>
      <c r="BI4" s="146" t="str">
        <f ca="1">RESULTADOS!AM21</f>
        <v>N/T</v>
      </c>
      <c r="BJ4" s="146" t="str">
        <f ca="1">RESULTADOS!AN21</f>
        <v>N/T</v>
      </c>
      <c r="BK4" s="146" t="str">
        <f ca="1">RESULTADOS!AO21</f>
        <v>N/D</v>
      </c>
      <c r="BL4" s="146" t="str">
        <f ca="1">RESULTADOS!AP21</f>
        <v>N/T</v>
      </c>
      <c r="BM4" s="146" t="str">
        <f ca="1">RESULTADOS!AQ21</f>
        <v>N/T</v>
      </c>
      <c r="BN4" s="146" t="str">
        <f ca="1">RESULTADOS!AR21</f>
        <v>N/D</v>
      </c>
      <c r="BO4" s="146" t="str">
        <f ca="1">RESULTADOS!AS21</f>
        <v>N/D</v>
      </c>
      <c r="BP4" s="146" t="str">
        <f ca="1">RESULTADOS!AT21</f>
        <v>N/T</v>
      </c>
      <c r="BQ4" s="146" t="str">
        <f ca="1">RESULTADOS!AU21</f>
        <v>N/T</v>
      </c>
      <c r="BR4" s="146" t="str">
        <f ca="1">RESULTADOS!AV21</f>
        <v>N/D</v>
      </c>
      <c r="BS4" s="146" t="str">
        <f ca="1">RESULTADOS!AW21</f>
        <v>N/T</v>
      </c>
      <c r="BT4" s="146" t="str">
        <f ca="1">RESULTADOS!AX21</f>
        <v>N/T</v>
      </c>
      <c r="BU4" s="146" t="str">
        <f ca="1">RESULTADOS!AY21</f>
        <v>N/D</v>
      </c>
      <c r="BV4" s="146" t="str">
        <f ca="1">RESULTADOS!AZ21</f>
        <v>N/T</v>
      </c>
      <c r="BW4" s="146" t="str">
        <f ca="1">RESULTADOS!BA21</f>
        <v>N/D</v>
      </c>
      <c r="BX4" s="146" t="str">
        <f ca="1">RESULTADOS!BB21</f>
        <v>N/T</v>
      </c>
      <c r="BY4" s="146" t="str">
        <f ca="1">RESULTADOS!BC21</f>
        <v>N/D</v>
      </c>
      <c r="BZ4" s="146" t="str">
        <f ca="1">RESULTADOS!BD21</f>
        <v>N/T</v>
      </c>
      <c r="CA4" s="146" t="str">
        <f ca="1">RESULTADOS!BE21</f>
        <v>N/T</v>
      </c>
      <c r="CB4" s="146" t="str">
        <f ca="1">RESULTADOS!BF21</f>
        <v>N/D</v>
      </c>
      <c r="CC4" s="146" t="str">
        <f ca="1">RESULTADOS!BG21</f>
        <v>N/D</v>
      </c>
      <c r="CD4" s="146" t="str">
        <f ca="1">RESULTADOS!BH21</f>
        <v>N/T</v>
      </c>
      <c r="CE4" s="146" t="str">
        <f ca="1">RESULTADOS!BI21</f>
        <v>N/D</v>
      </c>
      <c r="CF4" s="146" t="str">
        <f ca="1">RESULTADOS!BJ21</f>
        <v>N/D</v>
      </c>
      <c r="CG4" s="146" t="str">
        <f ca="1">RESULTADOS!BK21</f>
        <v>N/D</v>
      </c>
      <c r="CH4" s="146" t="str">
        <f ca="1">RESULTADOS!BL21</f>
        <v>N/D</v>
      </c>
      <c r="CI4" s="146" t="str">
        <f ca="1">RESULTADOS!BM21</f>
        <v>N/D</v>
      </c>
      <c r="CJ4" s="146" t="str">
        <f ca="1">RESULTADOS!BN21</f>
        <v>N/T</v>
      </c>
      <c r="CK4" s="146" t="str">
        <f ca="1">RESULTADOS!BO21</f>
        <v>N/D</v>
      </c>
      <c r="CL4" s="146" t="str">
        <f ca="1">RESULTADOS!BP21</f>
        <v>N/T</v>
      </c>
      <c r="CM4" s="146" t="str">
        <f ca="1">RESULTADOS!BQ21</f>
        <v>N/T</v>
      </c>
      <c r="CN4" s="146" t="str">
        <f ca="1">RESULTADOS!BR21</f>
        <v>N/D</v>
      </c>
      <c r="CO4" s="146" t="str">
        <f ca="1">RESULTADOS!BS21</f>
        <v>N/T</v>
      </c>
      <c r="CP4" s="146" t="str">
        <f ca="1">RESULTADOS!BT21</f>
        <v>N/D</v>
      </c>
      <c r="CQ4" s="146" t="str">
        <f ca="1">RESULTADOS!BU21</f>
        <v>N/D</v>
      </c>
      <c r="CR4" s="146" t="str">
        <f ca="1">RESULTADOS!BV21</f>
        <v>N/D</v>
      </c>
      <c r="CS4" s="146" t="str">
        <f ca="1">RESULTADOS!BW21</f>
        <v>N/D</v>
      </c>
      <c r="CT4" s="146" t="str">
        <f ca="1">RESULTADOS!BX21</f>
        <v>N/D</v>
      </c>
      <c r="CU4" s="146" t="str">
        <f ca="1">RESULTADOS!BY21</f>
        <v>N/T</v>
      </c>
      <c r="CV4" s="146" t="str">
        <f ca="1">RESULTADOS!BZ21</f>
        <v>N/T</v>
      </c>
      <c r="CW4" s="146" t="str">
        <f ca="1">RESULTADOS!CA21</f>
        <v>N/D</v>
      </c>
      <c r="CX4" s="146" t="str">
        <f ca="1">RESULTADOS!CB21</f>
        <v>N/T</v>
      </c>
      <c r="CY4" s="146" t="str">
        <f ca="1">RESULTADOS!CC21</f>
        <v>N/T</v>
      </c>
      <c r="CZ4" s="146" t="str">
        <f ca="1">RESULTADOS!CD21</f>
        <v>N/T</v>
      </c>
      <c r="DA4" s="146" t="str">
        <f ca="1">RESULTADOS!CE21</f>
        <v>N/D</v>
      </c>
      <c r="DB4" s="146" t="str">
        <f ca="1">RESULTADOS!CF21</f>
        <v>N/T</v>
      </c>
      <c r="DC4" s="146" t="str">
        <f ca="1">RESULTADOS!CG21</f>
        <v>N/T</v>
      </c>
      <c r="DD4" s="146" t="str">
        <f ca="1">RESULTADOS!CH21</f>
        <v>N/T</v>
      </c>
      <c r="DE4" s="146" t="str">
        <f ca="1">RESULTADOS!CI21</f>
        <v>N/T</v>
      </c>
      <c r="DF4" s="146" t="str">
        <f ca="1">RESULTADOS!CJ21</f>
        <v>N/T</v>
      </c>
      <c r="DG4" s="146" t="str">
        <f ca="1">RESULTADOS!CK21</f>
        <v>N/T</v>
      </c>
      <c r="DH4" s="146" t="str">
        <f ca="1">RESULTADOS!CL21</f>
        <v>N/T</v>
      </c>
      <c r="DI4" s="146" t="str">
        <f ca="1">RESULTADOS!CM21</f>
        <v>N/T</v>
      </c>
      <c r="DJ4" s="146" t="str">
        <f ca="1">RESULTADOS!CN21</f>
        <v>N/T</v>
      </c>
      <c r="DK4" s="146" t="str">
        <f ca="1">RESULTADOS!CO21</f>
        <v>N/T</v>
      </c>
      <c r="DL4" s="146" t="str">
        <f ca="1">RESULTADOS!CP21</f>
        <v>N/T</v>
      </c>
      <c r="DM4" s="146" t="str">
        <f ca="1">RESULTADOS!CQ21</f>
        <v>N/T</v>
      </c>
      <c r="DN4" s="146" t="str">
        <f ca="1">RESULTADOS!CR21</f>
        <v>N/T</v>
      </c>
      <c r="DO4" s="148" t="n">
        <f>RESULTADOS!B62</f>
        <v>1.0</v>
      </c>
      <c r="DP4" s="148" t="str">
        <f>RESULTADOS!C62</f>
        <v>Home - PortCastelló</v>
      </c>
      <c r="DQ4" s="148" t="str">
        <f t="shared" ref="DQ4:DQ37" si="1">IF(DO4&lt;&gt;"","Documento no web","")</f>
        <v>Documento no web</v>
      </c>
      <c r="DR4" s="148" t="str" cm="1">
        <f t="array" ref="DR4">IFERROR(INDEX('03.Muestra'!$E$8:$E$42,SMALL(IF("Documento no web"='03.Muestra'!$D$8:$D$42,ROW('03.Muestra'!$E$8:$E$42)-MIN(ROW('03.Muestra'!$D$8:$D$42))+1,""),ROW()-2)),"")</f>
        <v/>
      </c>
      <c r="DS4" s="148" t="str">
        <f>RESULTADOS!D62</f>
        <v>https://www.portcastello.com/</v>
      </c>
      <c r="DT4" s="148" t="n" cm="1">
        <f t="array" ref="DT4">IFERROR(INDEX('03.Muestra'!$G$8:$G$42,SMALL(IF("Documento no web"='03.Muestra'!$D$8:$D$42,ROW('03.Muestra'!$G$8:$G$42)-MIN(ROW('03.Muestra'!$D$8:$D$42))+1,""),ROW()-2)),"")</f>
        <v>0.0</v>
      </c>
      <c r="DU4" s="237" t="str" cm="1">
        <f t="array" ref="DU4">IFERROR(INDEX('03.Muestra'!$H$8:$H$42,SMALL(IF("Documento no web"='03.Muestra'!$D$8:$D$42,ROW('03.Muestra'!$H$8:$H$42)-MIN(ROW('03.Muestra'!$D$8:$D$42))+1,""),ROW()-2)),"")</f>
        <v>Ej. Imágenes, tablas, listas, multimedia, formularios, plantilla X, plantilla Y</v>
      </c>
      <c r="DV4" s="146" t="str">
        <f ca="1">RESULTADOS!E62</f>
        <v>Falla</v>
      </c>
      <c r="DW4" s="146" t="str">
        <f ca="1">RESULTADOS!F62</f>
        <v>N/T</v>
      </c>
      <c r="DX4" s="146" t="str">
        <f ca="1">RESULTADOS!G62</f>
        <v>N/T</v>
      </c>
      <c r="DY4" s="146" t="str">
        <f ca="1">RESULTADOS!H62</f>
        <v>N/T</v>
      </c>
      <c r="DZ4" s="146" t="str">
        <f ca="1">RESULTADOS!I62</f>
        <v>N/T</v>
      </c>
      <c r="EA4" s="146" t="str">
        <f ca="1">RESULTADOS!J62</f>
        <v>Falla</v>
      </c>
      <c r="EB4" s="146" t="str">
        <f ca="1">RESULTADOS!K62</f>
        <v>N/T</v>
      </c>
      <c r="EC4" s="146" t="str">
        <f ca="1">RESULTADOS!L62</f>
        <v>N/T</v>
      </c>
      <c r="ED4" s="146" t="str">
        <f ca="1">RESULTADOS!M62</f>
        <v>N/T</v>
      </c>
      <c r="EE4" s="146" t="str">
        <f ca="1">RESULTADOS!N62</f>
        <v>N/T</v>
      </c>
      <c r="EF4" s="146" t="str">
        <f ca="1">RESULTADOS!O62</f>
        <v>N/T</v>
      </c>
      <c r="EG4" s="146" t="str">
        <f ca="1">RESULTADOS!P62</f>
        <v>N/T</v>
      </c>
      <c r="EH4" s="146" t="str">
        <f ca="1">RESULTADOS!Q62</f>
        <v>N/T</v>
      </c>
      <c r="EI4" s="146" t="str">
        <f ca="1">RESULTADOS!R62</f>
        <v>N/T</v>
      </c>
      <c r="EJ4" s="146" t="str">
        <f ca="1">RESULTADOS!S62</f>
        <v>N/T</v>
      </c>
      <c r="EK4" s="146" t="str">
        <f ca="1">RESULTADOS!T62</f>
        <v>N/T</v>
      </c>
      <c r="EL4" s="146" t="str">
        <f ca="1">RESULTADOS!U62</f>
        <v>N/T</v>
      </c>
      <c r="EM4" s="146" t="str">
        <f ca="1">RESULTADOS!V62</f>
        <v>N/T</v>
      </c>
      <c r="EN4" s="146" t="str">
        <f ca="1">RESULTADOS!W62</f>
        <v>N/T</v>
      </c>
      <c r="EO4" s="146" t="str">
        <f ca="1">RESULTADOS!X62</f>
        <v>N/T</v>
      </c>
      <c r="EP4" s="146" t="str">
        <f ca="1">RESULTADOS!Y62</f>
        <v>N/T</v>
      </c>
      <c r="EQ4" s="146" t="str">
        <f ca="1">RESULTADOS!Z62</f>
        <v>N/T</v>
      </c>
      <c r="ER4" s="146" t="str">
        <f ca="1">RESULTADOS!AA62</f>
        <v>N/T</v>
      </c>
      <c r="ES4" s="146" t="str">
        <f ca="1">RESULTADOS!AB62</f>
        <v>N/T</v>
      </c>
      <c r="ET4" s="146" t="str">
        <f ca="1">RESULTADOS!AC62</f>
        <v>N/T</v>
      </c>
      <c r="EU4" s="146" t="str">
        <f ca="1">RESULTADOS!AD62</f>
        <v>Falla</v>
      </c>
      <c r="EV4" s="146" t="str">
        <f ca="1">RESULTADOS!AE62</f>
        <v>N/T</v>
      </c>
      <c r="EW4" s="146" t="str">
        <f ca="1">RESULTADOS!AF62</f>
        <v>N/T</v>
      </c>
      <c r="EX4" s="146" t="str">
        <f ca="1">RESULTADOS!AG62</f>
        <v>N/T</v>
      </c>
      <c r="EY4" s="146" t="str">
        <f ca="1">RESULTADOS!AH62</f>
        <v>N/T</v>
      </c>
      <c r="EZ4" s="146" t="str">
        <f ca="1">RESULTADOS!AI62</f>
        <v>N/T</v>
      </c>
      <c r="FA4" s="146" t="str">
        <f ca="1">RESULTADOS!AJ62</f>
        <v>N/T</v>
      </c>
      <c r="FB4" s="146" t="str">
        <f ca="1">RESULTADOS!AK62</f>
        <v>N/T</v>
      </c>
      <c r="FC4" s="146" t="str">
        <f ca="1">RESULTADOS!AL62</f>
        <v>N/T</v>
      </c>
      <c r="FD4" s="146" t="str">
        <f ca="1">RESULTADOS!AM62</f>
        <v>N/D</v>
      </c>
      <c r="FE4" s="146" t="str">
        <f ca="1">RESULTADOS!AN62</f>
        <v>N/T</v>
      </c>
      <c r="FF4" s="146" t="str">
        <f ca="1">RESULTADOS!AO62</f>
        <v>N/T</v>
      </c>
      <c r="FG4" s="146" t="str">
        <f ca="1">RESULTADOS!AP62</f>
        <v>N/T</v>
      </c>
      <c r="FH4" s="146" t="str">
        <f ca="1">RESULTADOS!AQ62</f>
        <v>N/T</v>
      </c>
      <c r="FI4" s="146" t="str">
        <f ca="1">RESULTADOS!AR62</f>
        <v>N/T</v>
      </c>
      <c r="FJ4" s="146" t="str">
        <f ca="1">RESULTADOS!AS62</f>
        <v>N/T</v>
      </c>
      <c r="FK4" s="146" t="str">
        <f ca="1">RESULTADOS!AT62</f>
        <v>N/T</v>
      </c>
      <c r="FL4" s="146" t="str">
        <f ca="1">RESULTADOS!AU62</f>
        <v>N/T</v>
      </c>
      <c r="FM4" s="146" t="str">
        <f ca="1">RESULTADOS!AV62</f>
        <v>Falla</v>
      </c>
      <c r="FN4" s="146" t="str">
        <f ca="1">RESULTADOS!AW62</f>
        <v>N/T</v>
      </c>
    </row>
    <row r="5" spans="1:170">
      <c r="C5" s="144" t="s">
        <v>136</v>
      </c>
      <c r="D5" s="147" t="n">
        <f>'01.Definición de ámbito'!C13</f>
        <v>0.0</v>
      </c>
      <c r="E5" s="144" t="s">
        <v>302</v>
      </c>
      <c r="F5" s="147" t="str">
        <f>'02.Tecnologías'!C12</f>
        <v>Sí</v>
      </c>
      <c r="G5" s="147" t="n">
        <f>'02.Tecnologías'!K15</f>
        <v>0.0</v>
      </c>
      <c r="H5" s="147" t="n">
        <f>'02.Tecnologías'!L15</f>
        <v>0.0</v>
      </c>
      <c r="I5" s="206"/>
      <c r="J5" s="206"/>
      <c r="K5" s="153" t="s">
        <v>151</v>
      </c>
      <c r="L5" s="207" t="str">
        <f>'03.Muestra'!D52</f>
        <v>NO</v>
      </c>
      <c r="M5" s="144"/>
      <c r="T5" s="148" t="n">
        <f>RESULTADOS!B22</f>
        <v>1.0</v>
      </c>
      <c r="U5" s="148" t="str">
        <f>RESULTADOS!C22</f>
        <v>Home - PortCastelló</v>
      </c>
      <c r="V5" s="148" t="str">
        <f t="shared" si="0"/>
        <v>Página web</v>
      </c>
      <c r="W5" s="148" t="str">
        <v/>
      </c>
      <c r="X5" s="148" t="str">
        <f>RESULTADOS!D22</f>
        <v>https://www.portcastello.com/</v>
      </c>
      <c r="Y5" s="148" t="n">
        <v>0.0</v>
      </c>
      <c r="Z5" s="237" t="str">
        <v>Ej. Imágenes, tablas, listas, multimedia, formularios, plantilla X, plantilla Y</v>
      </c>
      <c r="AA5" s="146" t="str">
        <f ca="1">RESULTADOS!E22</f>
        <v>N/T</v>
      </c>
      <c r="AB5" s="146" t="str">
        <f ca="1">RESULTADOS!F22</f>
        <v>N/T</v>
      </c>
      <c r="AC5" s="146" t="str">
        <f ca="1">RESULTADOS!G22</f>
        <v>N/T</v>
      </c>
      <c r="AD5" s="146" t="str">
        <f ca="1">RESULTADOS!H22</f>
        <v>N/T</v>
      </c>
      <c r="AE5" s="146" t="str">
        <f ca="1">RESULTADOS!I22</f>
        <v>N/T</v>
      </c>
      <c r="AF5" s="146" t="str">
        <f ca="1">RESULTADOS!J22</f>
        <v>N/T</v>
      </c>
      <c r="AG5" s="146" t="str">
        <f ca="1">RESULTADOS!K22</f>
        <v>N/T</v>
      </c>
      <c r="AH5" s="146" t="str">
        <f ca="1">RESULTADOS!L22</f>
        <v>N/T</v>
      </c>
      <c r="AI5" s="146" t="str">
        <f ca="1">RESULTADOS!M22</f>
        <v>N/T</v>
      </c>
      <c r="AJ5" s="146" t="str">
        <f ca="1">RESULTADOS!N22</f>
        <v>N/T</v>
      </c>
      <c r="AK5" s="146" t="str">
        <f ca="1">RESULTADOS!O22</f>
        <v>N/T</v>
      </c>
      <c r="AL5" s="146" t="str">
        <f ca="1">RESULTADOS!P22</f>
        <v>N/T</v>
      </c>
      <c r="AM5" s="146" t="str">
        <f ca="1">RESULTADOS!Q22</f>
        <v>N/T</v>
      </c>
      <c r="AN5" s="146" t="str">
        <f ca="1">RESULTADOS!R22</f>
        <v>N/T</v>
      </c>
      <c r="AO5" s="146" t="str">
        <f ca="1">RESULTADOS!S22</f>
        <v>N/T</v>
      </c>
      <c r="AP5" s="146" t="str">
        <f ca="1">RESULTADOS!T22</f>
        <v>N/T</v>
      </c>
      <c r="AQ5" s="146" t="str">
        <f ca="1">RESULTADOS!U22</f>
        <v>N/T</v>
      </c>
      <c r="AR5" s="146" t="str">
        <f ca="1">RESULTADOS!V22</f>
        <v>N/T</v>
      </c>
      <c r="AS5" s="146" t="str">
        <f ca="1">RESULTADOS!W22</f>
        <v>N/T</v>
      </c>
      <c r="AT5" s="146" t="str">
        <f ca="1">RESULTADOS!X22</f>
        <v>N/T</v>
      </c>
      <c r="AU5" s="146" t="str">
        <f ca="1">RESULTADOS!Y22</f>
        <v>N/T</v>
      </c>
      <c r="AV5" s="146" t="str">
        <f ca="1">RESULTADOS!Z22</f>
        <v>N/T</v>
      </c>
      <c r="AW5" s="146" t="str">
        <f ca="1">RESULTADOS!AA22</f>
        <v>N/T</v>
      </c>
      <c r="AX5" s="146" t="str">
        <f ca="1">RESULTADOS!AB22</f>
        <v>N/T</v>
      </c>
      <c r="AY5" s="146" t="str">
        <f ca="1">RESULTADOS!AC22</f>
        <v>N/T</v>
      </c>
      <c r="AZ5" s="146" t="str">
        <f ca="1">RESULTADOS!AD22</f>
        <v>N/T</v>
      </c>
      <c r="BA5" s="146" t="str">
        <f ca="1">RESULTADOS!AE22</f>
        <v>N/T</v>
      </c>
      <c r="BB5" s="146" t="str">
        <f ca="1">RESULTADOS!AF22</f>
        <v>N/T</v>
      </c>
      <c r="BC5" s="146" t="str">
        <f ca="1">RESULTADOS!AG22</f>
        <v>N/T</v>
      </c>
      <c r="BD5" s="146" t="str">
        <f ca="1">RESULTADOS!AH22</f>
        <v>N/T</v>
      </c>
      <c r="BE5" s="146" t="str">
        <f ca="1">RESULTADOS!AI22</f>
        <v>N/T</v>
      </c>
      <c r="BF5" s="146" t="str">
        <f ca="1">RESULTADOS!AJ22</f>
        <v>N/D</v>
      </c>
      <c r="BG5" s="146" t="str">
        <f ca="1">RESULTADOS!AK22</f>
        <v>N/T</v>
      </c>
      <c r="BH5" s="146" t="str">
        <f ca="1">RESULTADOS!AL22</f>
        <v>N/T</v>
      </c>
      <c r="BI5" s="146" t="str">
        <f ca="1">RESULTADOS!AM22</f>
        <v>N/T</v>
      </c>
      <c r="BJ5" s="146" t="str">
        <f ca="1">RESULTADOS!AN22</f>
        <v>N/T</v>
      </c>
      <c r="BK5" s="146" t="str">
        <f ca="1">RESULTADOS!AO22</f>
        <v>N/D</v>
      </c>
      <c r="BL5" s="146" t="str">
        <f ca="1">RESULTADOS!AP22</f>
        <v>N/T</v>
      </c>
      <c r="BM5" s="146" t="str">
        <f ca="1">RESULTADOS!AQ22</f>
        <v>N/T</v>
      </c>
      <c r="BN5" s="146" t="str">
        <f ca="1">RESULTADOS!AR22</f>
        <v>N/D</v>
      </c>
      <c r="BO5" s="146" t="str">
        <f ca="1">RESULTADOS!AS22</f>
        <v>N/D</v>
      </c>
      <c r="BP5" s="146" t="str">
        <f ca="1">RESULTADOS!AT22</f>
        <v>N/T</v>
      </c>
      <c r="BQ5" s="146" t="str">
        <f ca="1">RESULTADOS!AU22</f>
        <v>N/T</v>
      </c>
      <c r="BR5" s="146" t="str">
        <f ca="1">RESULTADOS!AV22</f>
        <v>N/D</v>
      </c>
      <c r="BS5" s="146" t="str">
        <f ca="1">RESULTADOS!AW22</f>
        <v>N/T</v>
      </c>
      <c r="BT5" s="146" t="str">
        <f ca="1">RESULTADOS!AX22</f>
        <v>N/T</v>
      </c>
      <c r="BU5" s="146" t="str">
        <f ca="1">RESULTADOS!AY22</f>
        <v>N/D</v>
      </c>
      <c r="BV5" s="146" t="str">
        <f ca="1">RESULTADOS!AZ22</f>
        <v>N/T</v>
      </c>
      <c r="BW5" s="146" t="str">
        <f ca="1">RESULTADOS!BA22</f>
        <v>N/D</v>
      </c>
      <c r="BX5" s="146" t="str">
        <f ca="1">RESULTADOS!BB22</f>
        <v>N/T</v>
      </c>
      <c r="BY5" s="146" t="str">
        <f ca="1">RESULTADOS!BC22</f>
        <v>N/D</v>
      </c>
      <c r="BZ5" s="146" t="str">
        <f ca="1">RESULTADOS!BD22</f>
        <v>N/T</v>
      </c>
      <c r="CA5" s="146" t="str">
        <f ca="1">RESULTADOS!BE22</f>
        <v>N/T</v>
      </c>
      <c r="CB5" s="146" t="str">
        <f ca="1">RESULTADOS!BF22</f>
        <v>N/D</v>
      </c>
      <c r="CC5" s="146" t="str">
        <f ca="1">RESULTADOS!BG22</f>
        <v>N/D</v>
      </c>
      <c r="CD5" s="146" t="str">
        <f ca="1">RESULTADOS!BH22</f>
        <v>N/T</v>
      </c>
      <c r="CE5" s="146" t="str">
        <f ca="1">RESULTADOS!BI22</f>
        <v>N/D</v>
      </c>
      <c r="CF5" s="146" t="str">
        <f ca="1">RESULTADOS!BJ22</f>
        <v>N/D</v>
      </c>
      <c r="CG5" s="146" t="str">
        <f ca="1">RESULTADOS!BK22</f>
        <v>N/D</v>
      </c>
      <c r="CH5" s="146" t="str">
        <f ca="1">RESULTADOS!BL22</f>
        <v>N/D</v>
      </c>
      <c r="CI5" s="146" t="str">
        <f ca="1">RESULTADOS!BM22</f>
        <v>N/D</v>
      </c>
      <c r="CJ5" s="146" t="str">
        <f ca="1">RESULTADOS!BN22</f>
        <v>N/T</v>
      </c>
      <c r="CK5" s="146" t="str">
        <f ca="1">RESULTADOS!BO22</f>
        <v>N/D</v>
      </c>
      <c r="CL5" s="146" t="str">
        <f ca="1">RESULTADOS!BP22</f>
        <v>N/T</v>
      </c>
      <c r="CM5" s="146" t="str">
        <f ca="1">RESULTADOS!BQ22</f>
        <v>N/T</v>
      </c>
      <c r="CN5" s="146" t="str">
        <f ca="1">RESULTADOS!BR22</f>
        <v>N/D</v>
      </c>
      <c r="CO5" s="146" t="str">
        <f ca="1">RESULTADOS!BS22</f>
        <v>N/T</v>
      </c>
      <c r="CP5" s="146" t="str">
        <f ca="1">RESULTADOS!BT22</f>
        <v>N/D</v>
      </c>
      <c r="CQ5" s="146" t="str">
        <f ca="1">RESULTADOS!BU22</f>
        <v>N/D</v>
      </c>
      <c r="CR5" s="146" t="str">
        <f ca="1">RESULTADOS!BV22</f>
        <v>N/D</v>
      </c>
      <c r="CS5" s="146" t="str">
        <f ca="1">RESULTADOS!BW22</f>
        <v>N/D</v>
      </c>
      <c r="CT5" s="146" t="str">
        <f ca="1">RESULTADOS!BX22</f>
        <v>N/D</v>
      </c>
      <c r="CU5" s="146" t="str">
        <f ca="1">RESULTADOS!BY22</f>
        <v>N/T</v>
      </c>
      <c r="CV5" s="146" t="str">
        <f ca="1">RESULTADOS!BZ22</f>
        <v>N/T</v>
      </c>
      <c r="CW5" s="146" t="str">
        <f ca="1">RESULTADOS!CA22</f>
        <v>N/D</v>
      </c>
      <c r="CX5" s="146" t="str">
        <f ca="1">RESULTADOS!CB22</f>
        <v>N/T</v>
      </c>
      <c r="CY5" s="146" t="str">
        <f ca="1">RESULTADOS!CC22</f>
        <v>N/T</v>
      </c>
      <c r="CZ5" s="146" t="str">
        <f ca="1">RESULTADOS!CD22</f>
        <v>N/T</v>
      </c>
      <c r="DA5" s="146" t="str">
        <f ca="1">RESULTADOS!CE22</f>
        <v>N/D</v>
      </c>
      <c r="DB5" s="146" t="str">
        <f ca="1">RESULTADOS!CF22</f>
        <v>N/T</v>
      </c>
      <c r="DC5" s="146" t="str">
        <f ca="1">RESULTADOS!CG22</f>
        <v>N/T</v>
      </c>
      <c r="DD5" s="146" t="str">
        <f ca="1">RESULTADOS!CH22</f>
        <v>N/T</v>
      </c>
      <c r="DE5" s="146" t="str">
        <f ca="1">RESULTADOS!CI22</f>
        <v>N/T</v>
      </c>
      <c r="DF5" s="146" t="str">
        <f ca="1">RESULTADOS!CJ22</f>
        <v>N/T</v>
      </c>
      <c r="DG5" s="146" t="str">
        <f ca="1">RESULTADOS!CK22</f>
        <v>N/T</v>
      </c>
      <c r="DH5" s="146" t="str">
        <f ca="1">RESULTADOS!CL22</f>
        <v>N/T</v>
      </c>
      <c r="DI5" s="146" t="str">
        <f ca="1">RESULTADOS!CM22</f>
        <v>N/T</v>
      </c>
      <c r="DJ5" s="146" t="str">
        <f ca="1">RESULTADOS!CN22</f>
        <v>N/T</v>
      </c>
      <c r="DK5" s="146" t="str">
        <f ca="1">RESULTADOS!CO22</f>
        <v>N/T</v>
      </c>
      <c r="DL5" s="146" t="str">
        <f ca="1">RESULTADOS!CP22</f>
        <v>N/T</v>
      </c>
      <c r="DM5" s="146" t="str">
        <f ca="1">RESULTADOS!CQ22</f>
        <v>N/T</v>
      </c>
      <c r="DN5" s="146" t="str">
        <f ca="1">RESULTADOS!CR22</f>
        <v>N/T</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281</v>
      </c>
      <c r="D6" s="147" t="n">
        <f>'01.Definición de ámbito'!C17</f>
        <v>0.0</v>
      </c>
      <c r="E6" s="144" t="s">
        <v>307</v>
      </c>
      <c r="F6" s="147" t="str">
        <f>'02.Tecnologías'!C13</f>
        <v>Sí</v>
      </c>
      <c r="G6" s="147" t="n">
        <f>'02.Tecnologías'!K16</f>
        <v>0.0</v>
      </c>
      <c r="H6" s="147" t="n">
        <f>'02.Tecnologías'!L16</f>
        <v>0.0</v>
      </c>
      <c r="I6" s="206"/>
      <c r="J6" s="206"/>
      <c r="K6" s="144"/>
      <c r="L6" s="144"/>
      <c r="M6" s="144"/>
      <c r="T6" s="148" t="n">
        <f>RESULTADOS!B23</f>
        <v>1.0</v>
      </c>
      <c r="U6" s="148" t="str">
        <f>RESULTADOS!C23</f>
        <v>Home - PortCastelló</v>
      </c>
      <c r="V6" s="148" t="str">
        <f t="shared" si="0"/>
        <v>Página web</v>
      </c>
      <c r="W6" s="148" t="str">
        <v/>
      </c>
      <c r="X6" s="148" t="str">
        <f>RESULTADOS!D23</f>
        <v>https://www.portcastello.com/</v>
      </c>
      <c r="Y6" s="148" t="n">
        <v>0.0</v>
      </c>
      <c r="Z6" s="237" t="str">
        <v>Ej. Imágenes, tablas, listas, multimedia, formularios, plantilla X, plantilla Y</v>
      </c>
      <c r="AA6" s="146" t="str">
        <f ca="1">RESULTADOS!E23</f>
        <v>N/T</v>
      </c>
      <c r="AB6" s="146" t="str">
        <f ca="1">RESULTADOS!F23</f>
        <v>N/T</v>
      </c>
      <c r="AC6" s="146" t="str">
        <f ca="1">RESULTADOS!G23</f>
        <v>N/T</v>
      </c>
      <c r="AD6" s="146" t="str">
        <f ca="1">RESULTADOS!H23</f>
        <v>N/T</v>
      </c>
      <c r="AE6" s="146" t="str">
        <f ca="1">RESULTADOS!I23</f>
        <v>N/T</v>
      </c>
      <c r="AF6" s="146" t="str">
        <f ca="1">RESULTADOS!J23</f>
        <v>N/T</v>
      </c>
      <c r="AG6" s="146" t="str">
        <f ca="1">RESULTADOS!K23</f>
        <v>N/T</v>
      </c>
      <c r="AH6" s="146" t="str">
        <f ca="1">RESULTADOS!L23</f>
        <v>N/T</v>
      </c>
      <c r="AI6" s="146" t="str">
        <f ca="1">RESULTADOS!M23</f>
        <v>N/T</v>
      </c>
      <c r="AJ6" s="146" t="str">
        <f ca="1">RESULTADOS!N23</f>
        <v>N/T</v>
      </c>
      <c r="AK6" s="146" t="str">
        <f ca="1">RESULTADOS!O23</f>
        <v>N/T</v>
      </c>
      <c r="AL6" s="146" t="str">
        <f ca="1">RESULTADOS!P23</f>
        <v>N/T</v>
      </c>
      <c r="AM6" s="146" t="str">
        <f ca="1">RESULTADOS!Q23</f>
        <v>N/T</v>
      </c>
      <c r="AN6" s="146" t="str">
        <f ca="1">RESULTADOS!R23</f>
        <v>N/T</v>
      </c>
      <c r="AO6" s="146" t="str">
        <f ca="1">RESULTADOS!S23</f>
        <v>N/T</v>
      </c>
      <c r="AP6" s="146" t="str">
        <f ca="1">RESULTADOS!T23</f>
        <v>N/T</v>
      </c>
      <c r="AQ6" s="146" t="str">
        <f ca="1">RESULTADOS!U23</f>
        <v>N/T</v>
      </c>
      <c r="AR6" s="146" t="str">
        <f ca="1">RESULTADOS!V23</f>
        <v>N/T</v>
      </c>
      <c r="AS6" s="146" t="str">
        <f ca="1">RESULTADOS!W23</f>
        <v>N/T</v>
      </c>
      <c r="AT6" s="146" t="str">
        <f ca="1">RESULTADOS!X23</f>
        <v>N/T</v>
      </c>
      <c r="AU6" s="146" t="str">
        <f ca="1">RESULTADOS!Y23</f>
        <v>N/T</v>
      </c>
      <c r="AV6" s="146" t="str">
        <f ca="1">RESULTADOS!Z23</f>
        <v>N/T</v>
      </c>
      <c r="AW6" s="146" t="str">
        <f ca="1">RESULTADOS!AA23</f>
        <v>N/T</v>
      </c>
      <c r="AX6" s="146" t="str">
        <f ca="1">RESULTADOS!AB23</f>
        <v>N/T</v>
      </c>
      <c r="AY6" s="146" t="str">
        <f ca="1">RESULTADOS!AC23</f>
        <v>N/T</v>
      </c>
      <c r="AZ6" s="146" t="str">
        <f ca="1">RESULTADOS!AD23</f>
        <v>N/T</v>
      </c>
      <c r="BA6" s="146" t="str">
        <f ca="1">RESULTADOS!AE23</f>
        <v>N/T</v>
      </c>
      <c r="BB6" s="146" t="str">
        <f ca="1">RESULTADOS!AF23</f>
        <v>N/T</v>
      </c>
      <c r="BC6" s="146" t="str">
        <f ca="1">RESULTADOS!AG23</f>
        <v>N/T</v>
      </c>
      <c r="BD6" s="146" t="str">
        <f ca="1">RESULTADOS!AH23</f>
        <v>N/T</v>
      </c>
      <c r="BE6" s="146" t="str">
        <f ca="1">RESULTADOS!AI23</f>
        <v>N/T</v>
      </c>
      <c r="BF6" s="146" t="str">
        <f ca="1">RESULTADOS!AJ23</f>
        <v>N/D</v>
      </c>
      <c r="BG6" s="146" t="str">
        <f ca="1">RESULTADOS!AK23</f>
        <v>N/T</v>
      </c>
      <c r="BH6" s="146" t="str">
        <f ca="1">RESULTADOS!AL23</f>
        <v>N/T</v>
      </c>
      <c r="BI6" s="146" t="str">
        <f ca="1">RESULTADOS!AM23</f>
        <v>N/T</v>
      </c>
      <c r="BJ6" s="146" t="str">
        <f ca="1">RESULTADOS!AN23</f>
        <v>N/T</v>
      </c>
      <c r="BK6" s="146" t="str">
        <f ca="1">RESULTADOS!AO23</f>
        <v>N/D</v>
      </c>
      <c r="BL6" s="146" t="str">
        <f ca="1">RESULTADOS!AP23</f>
        <v>N/T</v>
      </c>
      <c r="BM6" s="146" t="str">
        <f ca="1">RESULTADOS!AQ23</f>
        <v>N/T</v>
      </c>
      <c r="BN6" s="146" t="str">
        <f ca="1">RESULTADOS!AR23</f>
        <v>N/D</v>
      </c>
      <c r="BO6" s="146" t="str">
        <f ca="1">RESULTADOS!AS23</f>
        <v>N/D</v>
      </c>
      <c r="BP6" s="146" t="str">
        <f ca="1">RESULTADOS!AT23</f>
        <v>N/T</v>
      </c>
      <c r="BQ6" s="146" t="str">
        <f ca="1">RESULTADOS!AU23</f>
        <v>N/T</v>
      </c>
      <c r="BR6" s="146" t="str">
        <f ca="1">RESULTADOS!AV23</f>
        <v>N/D</v>
      </c>
      <c r="BS6" s="146" t="str">
        <f ca="1">RESULTADOS!AW23</f>
        <v>N/T</v>
      </c>
      <c r="BT6" s="146" t="str">
        <f ca="1">RESULTADOS!AX23</f>
        <v>N/T</v>
      </c>
      <c r="BU6" s="146" t="str">
        <f ca="1">RESULTADOS!AY23</f>
        <v>N/D</v>
      </c>
      <c r="BV6" s="146" t="str">
        <f ca="1">RESULTADOS!AZ23</f>
        <v>N/T</v>
      </c>
      <c r="BW6" s="146" t="str">
        <f ca="1">RESULTADOS!BA23</f>
        <v>N/D</v>
      </c>
      <c r="BX6" s="146" t="str">
        <f ca="1">RESULTADOS!BB23</f>
        <v>N/T</v>
      </c>
      <c r="BY6" s="146" t="str">
        <f ca="1">RESULTADOS!BC23</f>
        <v>N/D</v>
      </c>
      <c r="BZ6" s="146" t="str">
        <f ca="1">RESULTADOS!BD23</f>
        <v>N/T</v>
      </c>
      <c r="CA6" s="146" t="str">
        <f ca="1">RESULTADOS!BE23</f>
        <v>N/T</v>
      </c>
      <c r="CB6" s="146" t="str">
        <f ca="1">RESULTADOS!BF23</f>
        <v>N/D</v>
      </c>
      <c r="CC6" s="146" t="str">
        <f ca="1">RESULTADOS!BG23</f>
        <v>N/D</v>
      </c>
      <c r="CD6" s="146" t="str">
        <f ca="1">RESULTADOS!BH23</f>
        <v>N/T</v>
      </c>
      <c r="CE6" s="146" t="str">
        <f ca="1">RESULTADOS!BI23</f>
        <v>N/D</v>
      </c>
      <c r="CF6" s="146" t="str">
        <f ca="1">RESULTADOS!BJ23</f>
        <v>N/D</v>
      </c>
      <c r="CG6" s="146" t="str">
        <f ca="1">RESULTADOS!BK23</f>
        <v>N/D</v>
      </c>
      <c r="CH6" s="146" t="str">
        <f ca="1">RESULTADOS!BL23</f>
        <v>Falla</v>
      </c>
      <c r="CI6" s="146" t="str">
        <f ca="1">RESULTADOS!BM23</f>
        <v>N/D</v>
      </c>
      <c r="CJ6" s="146" t="str">
        <f ca="1">RESULTADOS!BN23</f>
        <v>N/T</v>
      </c>
      <c r="CK6" s="146" t="str">
        <f ca="1">RESULTADOS!BO23</f>
        <v>N/D</v>
      </c>
      <c r="CL6" s="146" t="str">
        <f ca="1">RESULTADOS!BP23</f>
        <v>N/T</v>
      </c>
      <c r="CM6" s="146" t="str">
        <f ca="1">RESULTADOS!BQ23</f>
        <v>N/T</v>
      </c>
      <c r="CN6" s="146" t="str">
        <f ca="1">RESULTADOS!BR23</f>
        <v>N/D</v>
      </c>
      <c r="CO6" s="146" t="str">
        <f ca="1">RESULTADOS!BS23</f>
        <v>N/T</v>
      </c>
      <c r="CP6" s="146" t="str">
        <f ca="1">RESULTADOS!BT23</f>
        <v>N/D</v>
      </c>
      <c r="CQ6" s="146" t="str">
        <f ca="1">RESULTADOS!BU23</f>
        <v>N/D</v>
      </c>
      <c r="CR6" s="146" t="str">
        <f ca="1">RESULTADOS!BV23</f>
        <v>N/D</v>
      </c>
      <c r="CS6" s="146" t="str">
        <f ca="1">RESULTADOS!BW23</f>
        <v>N/D</v>
      </c>
      <c r="CT6" s="146" t="str">
        <f ca="1">RESULTADOS!BX23</f>
        <v>N/D</v>
      </c>
      <c r="CU6" s="146" t="str">
        <f ca="1">RESULTADOS!BY23</f>
        <v>N/T</v>
      </c>
      <c r="CV6" s="146" t="str">
        <f ca="1">RESULTADOS!BZ23</f>
        <v>N/T</v>
      </c>
      <c r="CW6" s="146" t="str">
        <f ca="1">RESULTADOS!CA23</f>
        <v>N/D</v>
      </c>
      <c r="CX6" s="146" t="str">
        <f ca="1">RESULTADOS!CB23</f>
        <v>N/T</v>
      </c>
      <c r="CY6" s="146" t="str">
        <f ca="1">RESULTADOS!CC23</f>
        <v>N/T</v>
      </c>
      <c r="CZ6" s="146" t="str">
        <f ca="1">RESULTADOS!CD23</f>
        <v>N/T</v>
      </c>
      <c r="DA6" s="146" t="str">
        <f ca="1">RESULTADOS!CE23</f>
        <v>N/D</v>
      </c>
      <c r="DB6" s="146" t="str">
        <f ca="1">RESULTADOS!CF23</f>
        <v>N/T</v>
      </c>
      <c r="DC6" s="146" t="str">
        <f ca="1">RESULTADOS!CG23</f>
        <v>N/T</v>
      </c>
      <c r="DD6" s="146" t="str">
        <f ca="1">RESULTADOS!CH23</f>
        <v>N/T</v>
      </c>
      <c r="DE6" s="146" t="str">
        <f ca="1">RESULTADOS!CI23</f>
        <v>N/T</v>
      </c>
      <c r="DF6" s="146" t="str">
        <f ca="1">RESULTADOS!CJ23</f>
        <v>N/T</v>
      </c>
      <c r="DG6" s="146" t="str">
        <f ca="1">RESULTADOS!CK23</f>
        <v>N/T</v>
      </c>
      <c r="DH6" s="146" t="str">
        <f ca="1">RESULTADOS!CL23</f>
        <v>N/T</v>
      </c>
      <c r="DI6" s="146" t="str">
        <f ca="1">RESULTADOS!CM23</f>
        <v>N/T</v>
      </c>
      <c r="DJ6" s="146" t="str">
        <f ca="1">RESULTADOS!CN23</f>
        <v>N/T</v>
      </c>
      <c r="DK6" s="146" t="str">
        <f ca="1">RESULTADOS!CO23</f>
        <v>N/T</v>
      </c>
      <c r="DL6" s="146" t="str">
        <f ca="1">RESULTADOS!CP23</f>
        <v>N/T</v>
      </c>
      <c r="DM6" s="146" t="str">
        <f ca="1">RESULTADOS!CQ23</f>
        <v>N/T</v>
      </c>
      <c r="DN6" s="146" t="str">
        <f ca="1">RESULTADOS!CR23</f>
        <v>N/T</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137</v>
      </c>
      <c r="D7" s="147" t="n">
        <f>'01.Definición de ámbito'!C19</f>
        <v>0.0</v>
      </c>
      <c r="E7" s="144" t="s">
        <v>294</v>
      </c>
      <c r="F7" s="147" t="str">
        <f>'02.Tecnologías'!F9</f>
        <v>No</v>
      </c>
      <c r="G7" s="147" t="n">
        <f>'02.Tecnologías'!K17</f>
        <v>0.0</v>
      </c>
      <c r="H7" s="147" t="n">
        <f>'02.Tecnologías'!L17</f>
        <v>0.0</v>
      </c>
      <c r="I7" s="206"/>
      <c r="J7" s="206"/>
      <c r="K7" s="144"/>
      <c r="L7" s="144"/>
      <c r="M7" s="144"/>
      <c r="T7" s="148" t="n">
        <f>RESULTADOS!B24</f>
        <v>1.0</v>
      </c>
      <c r="U7" s="148" t="str">
        <f>RESULTADOS!C24</f>
        <v>Home - PortCastelló</v>
      </c>
      <c r="V7" s="148" t="str">
        <f t="shared" si="0"/>
        <v>Página web</v>
      </c>
      <c r="W7" s="148" t="str">
        <v/>
      </c>
      <c r="X7" s="148" t="str">
        <f>RESULTADOS!D24</f>
        <v>https://www.portcastello.com/</v>
      </c>
      <c r="Y7" s="148" t="n">
        <v>0.0</v>
      </c>
      <c r="Z7" s="237" t="str">
        <v>Ej. Imágenes, tablas, listas, multimedia, formularios, plantilla X, plantilla Y</v>
      </c>
      <c r="AA7" s="146" t="str">
        <f ca="1">RESULTADOS!E24</f>
        <v>N/T</v>
      </c>
      <c r="AB7" s="146" t="str">
        <f ca="1">RESULTADOS!F24</f>
        <v>N/T</v>
      </c>
      <c r="AC7" s="146" t="str">
        <f ca="1">RESULTADOS!G24</f>
        <v>N/T</v>
      </c>
      <c r="AD7" s="146" t="str">
        <f ca="1">RESULTADOS!H24</f>
        <v>N/T</v>
      </c>
      <c r="AE7" s="146" t="str">
        <f ca="1">RESULTADOS!I24</f>
        <v>N/T</v>
      </c>
      <c r="AF7" s="146" t="str">
        <f ca="1">RESULTADOS!J24</f>
        <v>N/T</v>
      </c>
      <c r="AG7" s="146" t="str">
        <f ca="1">RESULTADOS!K24</f>
        <v>N/T</v>
      </c>
      <c r="AH7" s="146" t="str">
        <f ca="1">RESULTADOS!L24</f>
        <v>N/T</v>
      </c>
      <c r="AI7" s="146" t="str">
        <f ca="1">RESULTADOS!M24</f>
        <v>N/T</v>
      </c>
      <c r="AJ7" s="146" t="str">
        <f ca="1">RESULTADOS!N24</f>
        <v>N/T</v>
      </c>
      <c r="AK7" s="146" t="str">
        <f ca="1">RESULTADOS!O24</f>
        <v>N/T</v>
      </c>
      <c r="AL7" s="146" t="str">
        <f ca="1">RESULTADOS!P24</f>
        <v>N/T</v>
      </c>
      <c r="AM7" s="146" t="str">
        <f ca="1">RESULTADOS!Q24</f>
        <v>N/T</v>
      </c>
      <c r="AN7" s="146" t="str">
        <f ca="1">RESULTADOS!R24</f>
        <v>N/T</v>
      </c>
      <c r="AO7" s="146" t="str">
        <f ca="1">RESULTADOS!S24</f>
        <v>N/T</v>
      </c>
      <c r="AP7" s="146" t="str">
        <f ca="1">RESULTADOS!T24</f>
        <v>N/T</v>
      </c>
      <c r="AQ7" s="146" t="str">
        <f ca="1">RESULTADOS!U24</f>
        <v>N/T</v>
      </c>
      <c r="AR7" s="146" t="str">
        <f ca="1">RESULTADOS!V24</f>
        <v>N/T</v>
      </c>
      <c r="AS7" s="146" t="str">
        <f ca="1">RESULTADOS!W24</f>
        <v>N/T</v>
      </c>
      <c r="AT7" s="146" t="str">
        <f ca="1">RESULTADOS!X24</f>
        <v>N/T</v>
      </c>
      <c r="AU7" s="146" t="str">
        <f ca="1">RESULTADOS!Y24</f>
        <v>N/T</v>
      </c>
      <c r="AV7" s="146" t="str">
        <f ca="1">RESULTADOS!Z24</f>
        <v>N/T</v>
      </c>
      <c r="AW7" s="146" t="str">
        <f ca="1">RESULTADOS!AA24</f>
        <v>N/T</v>
      </c>
      <c r="AX7" s="146" t="str">
        <f ca="1">RESULTADOS!AB24</f>
        <v>N/T</v>
      </c>
      <c r="AY7" s="146" t="str">
        <f ca="1">RESULTADOS!AC24</f>
        <v>N/T</v>
      </c>
      <c r="AZ7" s="146" t="str">
        <f ca="1">RESULTADOS!AD24</f>
        <v>N/T</v>
      </c>
      <c r="BA7" s="146" t="str">
        <f ca="1">RESULTADOS!AE24</f>
        <v>N/T</v>
      </c>
      <c r="BB7" s="146" t="str">
        <f ca="1">RESULTADOS!AF24</f>
        <v>N/T</v>
      </c>
      <c r="BC7" s="146" t="str">
        <f ca="1">RESULTADOS!AG24</f>
        <v>N/T</v>
      </c>
      <c r="BD7" s="146" t="str">
        <f ca="1">RESULTADOS!AH24</f>
        <v>N/T</v>
      </c>
      <c r="BE7" s="146" t="str">
        <f ca="1">RESULTADOS!AI24</f>
        <v>N/T</v>
      </c>
      <c r="BF7" s="146" t="str">
        <f ca="1">RESULTADOS!AJ24</f>
        <v>N/D</v>
      </c>
      <c r="BG7" s="146" t="str">
        <f ca="1">RESULTADOS!AK24</f>
        <v>N/T</v>
      </c>
      <c r="BH7" s="146" t="str">
        <f ca="1">RESULTADOS!AL24</f>
        <v>N/T</v>
      </c>
      <c r="BI7" s="146" t="str">
        <f ca="1">RESULTADOS!AM24</f>
        <v>N/T</v>
      </c>
      <c r="BJ7" s="146" t="str">
        <f ca="1">RESULTADOS!AN24</f>
        <v>N/T</v>
      </c>
      <c r="BK7" s="146" t="str">
        <f ca="1">RESULTADOS!AO24</f>
        <v>N/D</v>
      </c>
      <c r="BL7" s="146" t="str">
        <f ca="1">RESULTADOS!AP24</f>
        <v>N/T</v>
      </c>
      <c r="BM7" s="146" t="str">
        <f ca="1">RESULTADOS!AQ24</f>
        <v>N/T</v>
      </c>
      <c r="BN7" s="146" t="str">
        <f ca="1">RESULTADOS!AR24</f>
        <v>N/D</v>
      </c>
      <c r="BO7" s="146" t="str">
        <f ca="1">RESULTADOS!AS24</f>
        <v>N/D</v>
      </c>
      <c r="BP7" s="146" t="str">
        <f ca="1">RESULTADOS!AT24</f>
        <v>N/T</v>
      </c>
      <c r="BQ7" s="146" t="str">
        <f ca="1">RESULTADOS!AU24</f>
        <v>N/T</v>
      </c>
      <c r="BR7" s="146" t="str">
        <f ca="1">RESULTADOS!AV24</f>
        <v>N/D</v>
      </c>
      <c r="BS7" s="146" t="str">
        <f ca="1">RESULTADOS!AW24</f>
        <v>N/T</v>
      </c>
      <c r="BT7" s="146" t="str">
        <f ca="1">RESULTADOS!AX24</f>
        <v>N/T</v>
      </c>
      <c r="BU7" s="146" t="str">
        <f ca="1">RESULTADOS!AY24</f>
        <v>N/D</v>
      </c>
      <c r="BV7" s="146" t="str">
        <f ca="1">RESULTADOS!AZ24</f>
        <v>N/T</v>
      </c>
      <c r="BW7" s="146" t="str">
        <f ca="1">RESULTADOS!BA24</f>
        <v>N/D</v>
      </c>
      <c r="BX7" s="146" t="str">
        <f ca="1">RESULTADOS!BB24</f>
        <v>N/T</v>
      </c>
      <c r="BY7" s="146" t="str">
        <f ca="1">RESULTADOS!BC24</f>
        <v>N/D</v>
      </c>
      <c r="BZ7" s="146" t="str">
        <f ca="1">RESULTADOS!BD24</f>
        <v>N/T</v>
      </c>
      <c r="CA7" s="146" t="str">
        <f ca="1">RESULTADOS!BE24</f>
        <v>N/T</v>
      </c>
      <c r="CB7" s="146" t="str">
        <f ca="1">RESULTADOS!BF24</f>
        <v>N/D</v>
      </c>
      <c r="CC7" s="146" t="str">
        <f ca="1">RESULTADOS!BG24</f>
        <v>N/D</v>
      </c>
      <c r="CD7" s="146" t="str">
        <f ca="1">RESULTADOS!BH24</f>
        <v>N/T</v>
      </c>
      <c r="CE7" s="146" t="str">
        <f ca="1">RESULTADOS!BI24</f>
        <v>N/D</v>
      </c>
      <c r="CF7" s="146" t="str">
        <f ca="1">RESULTADOS!BJ24</f>
        <v>N/D</v>
      </c>
      <c r="CG7" s="146" t="str">
        <f ca="1">RESULTADOS!BK24</f>
        <v>N/D</v>
      </c>
      <c r="CH7" s="146" t="str">
        <f ca="1">RESULTADOS!BL24</f>
        <v>N/D</v>
      </c>
      <c r="CI7" s="146" t="str">
        <f ca="1">RESULTADOS!BM24</f>
        <v>N/D</v>
      </c>
      <c r="CJ7" s="146" t="str">
        <f ca="1">RESULTADOS!BN24</f>
        <v>N/T</v>
      </c>
      <c r="CK7" s="146" t="str">
        <f ca="1">RESULTADOS!BO24</f>
        <v>N/D</v>
      </c>
      <c r="CL7" s="146" t="str">
        <f ca="1">RESULTADOS!BP24</f>
        <v>N/T</v>
      </c>
      <c r="CM7" s="146" t="str">
        <f ca="1">RESULTADOS!BQ24</f>
        <v>N/T</v>
      </c>
      <c r="CN7" s="146" t="str">
        <f ca="1">RESULTADOS!BR24</f>
        <v>N/D</v>
      </c>
      <c r="CO7" s="146" t="str">
        <f ca="1">RESULTADOS!BS24</f>
        <v>N/T</v>
      </c>
      <c r="CP7" s="146" t="str">
        <f ca="1">RESULTADOS!BT24</f>
        <v>N/D</v>
      </c>
      <c r="CQ7" s="146" t="str">
        <f ca="1">RESULTADOS!BU24</f>
        <v>N/D</v>
      </c>
      <c r="CR7" s="146" t="str">
        <f ca="1">RESULTADOS!BV24</f>
        <v>N/D</v>
      </c>
      <c r="CS7" s="146" t="str">
        <f ca="1">RESULTADOS!BW24</f>
        <v>N/D</v>
      </c>
      <c r="CT7" s="146" t="str">
        <f ca="1">RESULTADOS!BX24</f>
        <v>N/D</v>
      </c>
      <c r="CU7" s="146" t="str">
        <f ca="1">RESULTADOS!BY24</f>
        <v>N/T</v>
      </c>
      <c r="CV7" s="146" t="str">
        <f ca="1">RESULTADOS!BZ24</f>
        <v>N/T</v>
      </c>
      <c r="CW7" s="146" t="str">
        <f ca="1">RESULTADOS!CA24</f>
        <v>N/D</v>
      </c>
      <c r="CX7" s="146" t="str">
        <f ca="1">RESULTADOS!CB24</f>
        <v>N/T</v>
      </c>
      <c r="CY7" s="146" t="str">
        <f ca="1">RESULTADOS!CC24</f>
        <v>N/T</v>
      </c>
      <c r="CZ7" s="146" t="str">
        <f ca="1">RESULTADOS!CD24</f>
        <v>N/T</v>
      </c>
      <c r="DA7" s="146" t="str">
        <f ca="1">RESULTADOS!CE24</f>
        <v>N/D</v>
      </c>
      <c r="DB7" s="146" t="str">
        <f ca="1">RESULTADOS!CF24</f>
        <v>N/T</v>
      </c>
      <c r="DC7" s="146" t="str">
        <f ca="1">RESULTADOS!CG24</f>
        <v>N/T</v>
      </c>
      <c r="DD7" s="146" t="str">
        <f ca="1">RESULTADOS!CH24</f>
        <v>N/T</v>
      </c>
      <c r="DE7" s="146" t="str">
        <f ca="1">RESULTADOS!CI24</f>
        <v>N/T</v>
      </c>
      <c r="DF7" s="146" t="str">
        <f ca="1">RESULTADOS!CJ24</f>
        <v>N/T</v>
      </c>
      <c r="DG7" s="146" t="str">
        <f ca="1">RESULTADOS!CK24</f>
        <v>N/T</v>
      </c>
      <c r="DH7" s="146" t="str">
        <f ca="1">RESULTADOS!CL24</f>
        <v>N/T</v>
      </c>
      <c r="DI7" s="146" t="str">
        <f ca="1">RESULTADOS!CM24</f>
        <v>N/T</v>
      </c>
      <c r="DJ7" s="146" t="str">
        <f ca="1">RESULTADOS!CN24</f>
        <v>N/T</v>
      </c>
      <c r="DK7" s="146" t="str">
        <f ca="1">RESULTADOS!CO24</f>
        <v>N/T</v>
      </c>
      <c r="DL7" s="146" t="str">
        <f ca="1">RESULTADOS!CP24</f>
        <v>N/T</v>
      </c>
      <c r="DM7" s="146" t="str">
        <f ca="1">RESULTADOS!CQ24</f>
        <v>N/T</v>
      </c>
      <c r="DN7" s="146" t="str">
        <f ca="1">RESULTADOS!CR24</f>
        <v>N/T</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282</v>
      </c>
      <c r="D8" s="147" t="n">
        <f>'01.Definición de ámbito'!C21</f>
        <v>0.0</v>
      </c>
      <c r="E8" s="144" t="s">
        <v>297</v>
      </c>
      <c r="F8" s="147" t="str">
        <f>'02.Tecnologías'!F10</f>
        <v>No</v>
      </c>
      <c r="G8" s="147" t="n">
        <f>'02.Tecnologías'!K18</f>
        <v>0.0</v>
      </c>
      <c r="H8" s="147" t="n">
        <f>'02.Tecnologías'!L18</f>
        <v>0.0</v>
      </c>
      <c r="I8" s="206"/>
      <c r="J8" s="206"/>
      <c r="K8" s="144"/>
      <c r="L8" s="144"/>
      <c r="M8" s="144"/>
      <c r="T8" s="148" t="n">
        <f>RESULTADOS!B25</f>
        <v>1.0</v>
      </c>
      <c r="U8" s="148" t="str">
        <f>RESULTADOS!C25</f>
        <v>Home - PortCastelló</v>
      </c>
      <c r="V8" s="148" t="str">
        <f t="shared" si="0"/>
        <v>Página web</v>
      </c>
      <c r="W8" s="148" t="str">
        <v/>
      </c>
      <c r="X8" s="148" t="str">
        <f>RESULTADOS!D25</f>
        <v>https://www.portcastello.com/</v>
      </c>
      <c r="Y8" s="148" t="n">
        <v>0.0</v>
      </c>
      <c r="Z8" s="237" t="str">
        <v>Ej. Imágenes, tablas, listas, multimedia, formularios, plantilla X, plantilla Y</v>
      </c>
      <c r="AA8" s="146" t="str">
        <f ca="1">RESULTADOS!E25</f>
        <v>N/T</v>
      </c>
      <c r="AB8" s="146" t="str">
        <f ca="1">RESULTADOS!F25</f>
        <v>N/T</v>
      </c>
      <c r="AC8" s="146" t="str">
        <f ca="1">RESULTADOS!G25</f>
        <v>N/T</v>
      </c>
      <c r="AD8" s="146" t="str">
        <f ca="1">RESULTADOS!H25</f>
        <v>N/T</v>
      </c>
      <c r="AE8" s="146" t="str">
        <f ca="1">RESULTADOS!I25</f>
        <v>N/T</v>
      </c>
      <c r="AF8" s="146" t="str">
        <f ca="1">RESULTADOS!J25</f>
        <v>N/T</v>
      </c>
      <c r="AG8" s="146" t="str">
        <f ca="1">RESULTADOS!K25</f>
        <v>N/T</v>
      </c>
      <c r="AH8" s="146" t="str">
        <f ca="1">RESULTADOS!L25</f>
        <v>N/T</v>
      </c>
      <c r="AI8" s="146" t="str">
        <f ca="1">RESULTADOS!M25</f>
        <v>N/T</v>
      </c>
      <c r="AJ8" s="146" t="str">
        <f ca="1">RESULTADOS!N25</f>
        <v>N/T</v>
      </c>
      <c r="AK8" s="146" t="str">
        <f ca="1">RESULTADOS!O25</f>
        <v>N/T</v>
      </c>
      <c r="AL8" s="146" t="str">
        <f ca="1">RESULTADOS!P25</f>
        <v>N/T</v>
      </c>
      <c r="AM8" s="146" t="str">
        <f ca="1">RESULTADOS!Q25</f>
        <v>N/T</v>
      </c>
      <c r="AN8" s="146" t="str">
        <f ca="1">RESULTADOS!R25</f>
        <v>N/T</v>
      </c>
      <c r="AO8" s="146" t="str">
        <f ca="1">RESULTADOS!S25</f>
        <v>N/T</v>
      </c>
      <c r="AP8" s="146" t="str">
        <f ca="1">RESULTADOS!T25</f>
        <v>N/T</v>
      </c>
      <c r="AQ8" s="146" t="str">
        <f ca="1">RESULTADOS!U25</f>
        <v>N/T</v>
      </c>
      <c r="AR8" s="146" t="str">
        <f ca="1">RESULTADOS!V25</f>
        <v>N/T</v>
      </c>
      <c r="AS8" s="146" t="str">
        <f ca="1">RESULTADOS!W25</f>
        <v>N/T</v>
      </c>
      <c r="AT8" s="146" t="str">
        <f ca="1">RESULTADOS!X25</f>
        <v>N/T</v>
      </c>
      <c r="AU8" s="146" t="str">
        <f ca="1">RESULTADOS!Y25</f>
        <v>N/T</v>
      </c>
      <c r="AV8" s="146" t="str">
        <f ca="1">RESULTADOS!Z25</f>
        <v>N/T</v>
      </c>
      <c r="AW8" s="146" t="str">
        <f ca="1">RESULTADOS!AA25</f>
        <v>N/T</v>
      </c>
      <c r="AX8" s="146" t="str">
        <f ca="1">RESULTADOS!AB25</f>
        <v>N/T</v>
      </c>
      <c r="AY8" s="146" t="str">
        <f ca="1">RESULTADOS!AC25</f>
        <v>N/T</v>
      </c>
      <c r="AZ8" s="146" t="str">
        <f ca="1">RESULTADOS!AD25</f>
        <v>N/T</v>
      </c>
      <c r="BA8" s="146" t="str">
        <f ca="1">RESULTADOS!AE25</f>
        <v>N/T</v>
      </c>
      <c r="BB8" s="146" t="str">
        <f ca="1">RESULTADOS!AF25</f>
        <v>N/T</v>
      </c>
      <c r="BC8" s="146" t="str">
        <f ca="1">RESULTADOS!AG25</f>
        <v>N/T</v>
      </c>
      <c r="BD8" s="146" t="str">
        <f ca="1">RESULTADOS!AH25</f>
        <v>N/T</v>
      </c>
      <c r="BE8" s="146" t="str">
        <f ca="1">RESULTADOS!AI25</f>
        <v>N/T</v>
      </c>
      <c r="BF8" s="146" t="str">
        <f ca="1">RESULTADOS!AJ25</f>
        <v>N/D</v>
      </c>
      <c r="BG8" s="146" t="str">
        <f ca="1">RESULTADOS!AK25</f>
        <v>N/T</v>
      </c>
      <c r="BH8" s="146" t="str">
        <f ca="1">RESULTADOS!AL25</f>
        <v>N/T</v>
      </c>
      <c r="BI8" s="146" t="str">
        <f ca="1">RESULTADOS!AM25</f>
        <v>N/T</v>
      </c>
      <c r="BJ8" s="146" t="str">
        <f ca="1">RESULTADOS!AN25</f>
        <v>N/T</v>
      </c>
      <c r="BK8" s="146" t="str">
        <f ca="1">RESULTADOS!AO25</f>
        <v>N/D</v>
      </c>
      <c r="BL8" s="146" t="str">
        <f ca="1">RESULTADOS!AP25</f>
        <v>N/T</v>
      </c>
      <c r="BM8" s="146" t="str">
        <f ca="1">RESULTADOS!AQ25</f>
        <v>N/T</v>
      </c>
      <c r="BN8" s="146" t="str">
        <f ca="1">RESULTADOS!AR25</f>
        <v>N/D</v>
      </c>
      <c r="BO8" s="146" t="str">
        <f ca="1">RESULTADOS!AS25</f>
        <v>N/D</v>
      </c>
      <c r="BP8" s="146" t="str">
        <f ca="1">RESULTADOS!AT25</f>
        <v>N/T</v>
      </c>
      <c r="BQ8" s="146" t="str">
        <f ca="1">RESULTADOS!AU25</f>
        <v>N/T</v>
      </c>
      <c r="BR8" s="146" t="str">
        <f ca="1">RESULTADOS!AV25</f>
        <v>N/D</v>
      </c>
      <c r="BS8" s="146" t="str">
        <f ca="1">RESULTADOS!AW25</f>
        <v>N/T</v>
      </c>
      <c r="BT8" s="146" t="str">
        <f ca="1">RESULTADOS!AX25</f>
        <v>N/T</v>
      </c>
      <c r="BU8" s="146" t="str">
        <f ca="1">RESULTADOS!AY25</f>
        <v>N/D</v>
      </c>
      <c r="BV8" s="146" t="str">
        <f ca="1">RESULTADOS!AZ25</f>
        <v>N/T</v>
      </c>
      <c r="BW8" s="146" t="str">
        <f ca="1">RESULTADOS!BA25</f>
        <v>N/D</v>
      </c>
      <c r="BX8" s="146" t="str">
        <f ca="1">RESULTADOS!BB25</f>
        <v>N/T</v>
      </c>
      <c r="BY8" s="146" t="str">
        <f ca="1">RESULTADOS!BC25</f>
        <v>N/D</v>
      </c>
      <c r="BZ8" s="146" t="str">
        <f ca="1">RESULTADOS!BD25</f>
        <v>N/T</v>
      </c>
      <c r="CA8" s="146" t="str">
        <f ca="1">RESULTADOS!BE25</f>
        <v>N/T</v>
      </c>
      <c r="CB8" s="146" t="str">
        <f ca="1">RESULTADOS!BF25</f>
        <v>N/D</v>
      </c>
      <c r="CC8" s="146" t="str">
        <f ca="1">RESULTADOS!BG25</f>
        <v>N/D</v>
      </c>
      <c r="CD8" s="146" t="str">
        <f ca="1">RESULTADOS!BH25</f>
        <v>N/T</v>
      </c>
      <c r="CE8" s="146" t="str">
        <f ca="1">RESULTADOS!BI25</f>
        <v>N/D</v>
      </c>
      <c r="CF8" s="146" t="str">
        <f ca="1">RESULTADOS!BJ25</f>
        <v>N/D</v>
      </c>
      <c r="CG8" s="146" t="str">
        <f ca="1">RESULTADOS!BK25</f>
        <v>N/D</v>
      </c>
      <c r="CH8" s="146" t="str">
        <f ca="1">RESULTADOS!BL25</f>
        <v>N/D</v>
      </c>
      <c r="CI8" s="146" t="str">
        <f ca="1">RESULTADOS!BM25</f>
        <v>N/D</v>
      </c>
      <c r="CJ8" s="146" t="str">
        <f ca="1">RESULTADOS!BN25</f>
        <v>N/T</v>
      </c>
      <c r="CK8" s="146" t="str">
        <f ca="1">RESULTADOS!BO25</f>
        <v>N/D</v>
      </c>
      <c r="CL8" s="146" t="str">
        <f ca="1">RESULTADOS!BP25</f>
        <v>N/T</v>
      </c>
      <c r="CM8" s="146" t="str">
        <f ca="1">RESULTADOS!BQ25</f>
        <v>N/T</v>
      </c>
      <c r="CN8" s="146" t="str">
        <f ca="1">RESULTADOS!BR25</f>
        <v>N/D</v>
      </c>
      <c r="CO8" s="146" t="str">
        <f ca="1">RESULTADOS!BS25</f>
        <v>N/T</v>
      </c>
      <c r="CP8" s="146" t="str">
        <f ca="1">RESULTADOS!BT25</f>
        <v>N/D</v>
      </c>
      <c r="CQ8" s="146" t="str">
        <f ca="1">RESULTADOS!BU25</f>
        <v>N/D</v>
      </c>
      <c r="CR8" s="146" t="str">
        <f ca="1">RESULTADOS!BV25</f>
        <v>N/D</v>
      </c>
      <c r="CS8" s="146" t="str">
        <f ca="1">RESULTADOS!BW25</f>
        <v>N/D</v>
      </c>
      <c r="CT8" s="146" t="str">
        <f ca="1">RESULTADOS!BX25</f>
        <v>N/D</v>
      </c>
      <c r="CU8" s="146" t="str">
        <f ca="1">RESULTADOS!BY25</f>
        <v>N/T</v>
      </c>
      <c r="CV8" s="146" t="str">
        <f ca="1">RESULTADOS!BZ25</f>
        <v>N/T</v>
      </c>
      <c r="CW8" s="146" t="str">
        <f ca="1">RESULTADOS!CA25</f>
        <v>N/D</v>
      </c>
      <c r="CX8" s="146" t="str">
        <f ca="1">RESULTADOS!CB25</f>
        <v>N/T</v>
      </c>
      <c r="CY8" s="146" t="str">
        <f ca="1">RESULTADOS!CC25</f>
        <v>N/T</v>
      </c>
      <c r="CZ8" s="146" t="str">
        <f ca="1">RESULTADOS!CD25</f>
        <v>N/T</v>
      </c>
      <c r="DA8" s="146" t="str">
        <f ca="1">RESULTADOS!CE25</f>
        <v>N/D</v>
      </c>
      <c r="DB8" s="146" t="str">
        <f ca="1">RESULTADOS!CF25</f>
        <v>N/T</v>
      </c>
      <c r="DC8" s="146" t="str">
        <f ca="1">RESULTADOS!CG25</f>
        <v>N/T</v>
      </c>
      <c r="DD8" s="146" t="str">
        <f ca="1">RESULTADOS!CH25</f>
        <v>N/T</v>
      </c>
      <c r="DE8" s="146" t="str">
        <f ca="1">RESULTADOS!CI25</f>
        <v>N/T</v>
      </c>
      <c r="DF8" s="146" t="str">
        <f ca="1">RESULTADOS!CJ25</f>
        <v>N/T</v>
      </c>
      <c r="DG8" s="146" t="str">
        <f ca="1">RESULTADOS!CK25</f>
        <v>N/T</v>
      </c>
      <c r="DH8" s="146" t="str">
        <f ca="1">RESULTADOS!CL25</f>
        <v>N/T</v>
      </c>
      <c r="DI8" s="146" t="str">
        <f ca="1">RESULTADOS!CM25</f>
        <v>N/T</v>
      </c>
      <c r="DJ8" s="146" t="str">
        <f ca="1">RESULTADOS!CN25</f>
        <v>N/T</v>
      </c>
      <c r="DK8" s="146" t="str">
        <f ca="1">RESULTADOS!CO25</f>
        <v>N/T</v>
      </c>
      <c r="DL8" s="146" t="str">
        <f ca="1">RESULTADOS!CP25</f>
        <v>N/T</v>
      </c>
      <c r="DM8" s="146" t="str">
        <f ca="1">RESULTADOS!CQ25</f>
        <v>N/T</v>
      </c>
      <c r="DN8" s="146" t="str">
        <f ca="1">RESULTADOS!CR25</f>
        <v>N/T</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283</v>
      </c>
      <c r="D9" s="147" t="n">
        <f>'01.Definición de ámbito'!C25</f>
        <v>0.0</v>
      </c>
      <c r="E9" s="144" t="s">
        <v>300</v>
      </c>
      <c r="F9" s="147" t="str">
        <f>'02.Tecnologías'!F11</f>
        <v>No</v>
      </c>
      <c r="G9" s="147" t="n">
        <f>'02.Tecnologías'!K19</f>
        <v>0.0</v>
      </c>
      <c r="H9" s="147" t="n">
        <f>'02.Tecnologías'!L19</f>
        <v>0.0</v>
      </c>
      <c r="I9" s="206"/>
      <c r="J9" s="206"/>
      <c r="K9" s="144"/>
      <c r="L9" s="144"/>
      <c r="M9" s="144"/>
      <c r="T9" s="148" t="n">
        <f>RESULTADOS!B26</f>
        <v>1.0</v>
      </c>
      <c r="U9" s="148" t="str">
        <f>RESULTADOS!C26</f>
        <v>Home - PortCastelló</v>
      </c>
      <c r="V9" s="148" t="str">
        <f t="shared" si="0"/>
        <v>Página web</v>
      </c>
      <c r="W9" s="148" t="str">
        <v/>
      </c>
      <c r="X9" s="148" t="str">
        <f>RESULTADOS!D26</f>
        <v>https://www.portcastello.com/</v>
      </c>
      <c r="Y9" s="148" t="n">
        <v>0.0</v>
      </c>
      <c r="Z9" s="237" t="str">
        <v>Ej. Imágenes, tablas, listas, multimedia, formularios, plantilla X, plantilla Y</v>
      </c>
      <c r="AA9" s="146" t="str">
        <f ca="1">RESULTADOS!E26</f>
        <v>N/T</v>
      </c>
      <c r="AB9" s="146" t="str">
        <f ca="1">RESULTADOS!F26</f>
        <v>N/T</v>
      </c>
      <c r="AC9" s="146" t="str">
        <f ca="1">RESULTADOS!G26</f>
        <v>N/T</v>
      </c>
      <c r="AD9" s="146" t="str">
        <f ca="1">RESULTADOS!H26</f>
        <v>N/T</v>
      </c>
      <c r="AE9" s="146" t="str">
        <f ca="1">RESULTADOS!I26</f>
        <v>N/T</v>
      </c>
      <c r="AF9" s="146" t="str">
        <f ca="1">RESULTADOS!J26</f>
        <v>N/T</v>
      </c>
      <c r="AG9" s="146" t="str">
        <f ca="1">RESULTADOS!K26</f>
        <v>N/T</v>
      </c>
      <c r="AH9" s="146" t="str">
        <f ca="1">RESULTADOS!L26</f>
        <v>N/T</v>
      </c>
      <c r="AI9" s="146" t="str">
        <f ca="1">RESULTADOS!M26</f>
        <v>N/T</v>
      </c>
      <c r="AJ9" s="146" t="str">
        <f ca="1">RESULTADOS!N26</f>
        <v>N/T</v>
      </c>
      <c r="AK9" s="146" t="str">
        <f ca="1">RESULTADOS!O26</f>
        <v>N/T</v>
      </c>
      <c r="AL9" s="146" t="str">
        <f ca="1">RESULTADOS!P26</f>
        <v>N/T</v>
      </c>
      <c r="AM9" s="146" t="str">
        <f ca="1">RESULTADOS!Q26</f>
        <v>N/T</v>
      </c>
      <c r="AN9" s="146" t="str">
        <f ca="1">RESULTADOS!R26</f>
        <v>N/T</v>
      </c>
      <c r="AO9" s="146" t="str">
        <f ca="1">RESULTADOS!S26</f>
        <v>N/T</v>
      </c>
      <c r="AP9" s="146" t="str">
        <f ca="1">RESULTADOS!T26</f>
        <v>N/T</v>
      </c>
      <c r="AQ9" s="146" t="str">
        <f ca="1">RESULTADOS!U26</f>
        <v>N/T</v>
      </c>
      <c r="AR9" s="146" t="str">
        <f ca="1">RESULTADOS!V26</f>
        <v>N/T</v>
      </c>
      <c r="AS9" s="146" t="str">
        <f ca="1">RESULTADOS!W26</f>
        <v>N/T</v>
      </c>
      <c r="AT9" s="146" t="str">
        <f ca="1">RESULTADOS!X26</f>
        <v>N/T</v>
      </c>
      <c r="AU9" s="146" t="str">
        <f ca="1">RESULTADOS!Y26</f>
        <v>N/T</v>
      </c>
      <c r="AV9" s="146" t="str">
        <f ca="1">RESULTADOS!Z26</f>
        <v>N/T</v>
      </c>
      <c r="AW9" s="146" t="str">
        <f ca="1">RESULTADOS!AA26</f>
        <v>N/T</v>
      </c>
      <c r="AX9" s="146" t="str">
        <f ca="1">RESULTADOS!AB26</f>
        <v>N/T</v>
      </c>
      <c r="AY9" s="146" t="str">
        <f ca="1">RESULTADOS!AC26</f>
        <v>N/T</v>
      </c>
      <c r="AZ9" s="146" t="str">
        <f ca="1">RESULTADOS!AD26</f>
        <v>N/T</v>
      </c>
      <c r="BA9" s="146" t="str">
        <f ca="1">RESULTADOS!AE26</f>
        <v>N/T</v>
      </c>
      <c r="BB9" s="146" t="str">
        <f ca="1">RESULTADOS!AF26</f>
        <v>N/T</v>
      </c>
      <c r="BC9" s="146" t="str">
        <f ca="1">RESULTADOS!AG26</f>
        <v>N/T</v>
      </c>
      <c r="BD9" s="146" t="str">
        <f ca="1">RESULTADOS!AH26</f>
        <v>N/T</v>
      </c>
      <c r="BE9" s="146" t="str">
        <f ca="1">RESULTADOS!AI26</f>
        <v>N/T</v>
      </c>
      <c r="BF9" s="146" t="str">
        <f ca="1">RESULTADOS!AJ26</f>
        <v>N/D</v>
      </c>
      <c r="BG9" s="146" t="str">
        <f ca="1">RESULTADOS!AK26</f>
        <v>N/T</v>
      </c>
      <c r="BH9" s="146" t="str">
        <f ca="1">RESULTADOS!AL26</f>
        <v>N/T</v>
      </c>
      <c r="BI9" s="146" t="str">
        <f ca="1">RESULTADOS!AM26</f>
        <v>N/T</v>
      </c>
      <c r="BJ9" s="146" t="str">
        <f ca="1">RESULTADOS!AN26</f>
        <v>N/T</v>
      </c>
      <c r="BK9" s="146" t="str">
        <f ca="1">RESULTADOS!AO26</f>
        <v>N/D</v>
      </c>
      <c r="BL9" s="146" t="str">
        <f ca="1">RESULTADOS!AP26</f>
        <v>N/T</v>
      </c>
      <c r="BM9" s="146" t="str">
        <f ca="1">RESULTADOS!AQ26</f>
        <v>N/T</v>
      </c>
      <c r="BN9" s="146" t="str">
        <f ca="1">RESULTADOS!AR26</f>
        <v>N/D</v>
      </c>
      <c r="BO9" s="146" t="str">
        <f ca="1">RESULTADOS!AS26</f>
        <v>N/D</v>
      </c>
      <c r="BP9" s="146" t="str">
        <f ca="1">RESULTADOS!AT26</f>
        <v>N/T</v>
      </c>
      <c r="BQ9" s="146" t="str">
        <f ca="1">RESULTADOS!AU26</f>
        <v>N/T</v>
      </c>
      <c r="BR9" s="146" t="str">
        <f ca="1">RESULTADOS!AV26</f>
        <v>N/D</v>
      </c>
      <c r="BS9" s="146" t="str">
        <f ca="1">RESULTADOS!AW26</f>
        <v>N/T</v>
      </c>
      <c r="BT9" s="146" t="str">
        <f ca="1">RESULTADOS!AX26</f>
        <v>N/T</v>
      </c>
      <c r="BU9" s="146" t="str">
        <f ca="1">RESULTADOS!AY26</f>
        <v>N/D</v>
      </c>
      <c r="BV9" s="146" t="str">
        <f ca="1">RESULTADOS!AZ26</f>
        <v>N/T</v>
      </c>
      <c r="BW9" s="146" t="str">
        <f ca="1">RESULTADOS!BA26</f>
        <v>N/D</v>
      </c>
      <c r="BX9" s="146" t="str">
        <f ca="1">RESULTADOS!BB26</f>
        <v>N/T</v>
      </c>
      <c r="BY9" s="146" t="str">
        <f ca="1">RESULTADOS!BC26</f>
        <v>N/D</v>
      </c>
      <c r="BZ9" s="146" t="str">
        <f ca="1">RESULTADOS!BD26</f>
        <v>N/T</v>
      </c>
      <c r="CA9" s="146" t="str">
        <f ca="1">RESULTADOS!BE26</f>
        <v>N/T</v>
      </c>
      <c r="CB9" s="146" t="str">
        <f ca="1">RESULTADOS!BF26</f>
        <v>N/D</v>
      </c>
      <c r="CC9" s="146" t="str">
        <f ca="1">RESULTADOS!BG26</f>
        <v>N/D</v>
      </c>
      <c r="CD9" s="146" t="str">
        <f ca="1">RESULTADOS!BH26</f>
        <v>N/T</v>
      </c>
      <c r="CE9" s="146" t="str">
        <f ca="1">RESULTADOS!BI26</f>
        <v>N/D</v>
      </c>
      <c r="CF9" s="146" t="str">
        <f ca="1">RESULTADOS!BJ26</f>
        <v>N/D</v>
      </c>
      <c r="CG9" s="146" t="str">
        <f ca="1">RESULTADOS!BK26</f>
        <v>N/D</v>
      </c>
      <c r="CH9" s="146" t="str">
        <f ca="1">RESULTADOS!BL26</f>
        <v>N/D</v>
      </c>
      <c r="CI9" s="146" t="str">
        <f ca="1">RESULTADOS!BM26</f>
        <v>N/D</v>
      </c>
      <c r="CJ9" s="146" t="str">
        <f ca="1">RESULTADOS!BN26</f>
        <v>N/T</v>
      </c>
      <c r="CK9" s="146" t="str">
        <f ca="1">RESULTADOS!BO26</f>
        <v>N/D</v>
      </c>
      <c r="CL9" s="146" t="str">
        <f ca="1">RESULTADOS!BP26</f>
        <v>N/T</v>
      </c>
      <c r="CM9" s="146" t="str">
        <f ca="1">RESULTADOS!BQ26</f>
        <v>N/T</v>
      </c>
      <c r="CN9" s="146" t="str">
        <f ca="1">RESULTADOS!BR26</f>
        <v>N/D</v>
      </c>
      <c r="CO9" s="146" t="str">
        <f ca="1">RESULTADOS!BS26</f>
        <v>N/T</v>
      </c>
      <c r="CP9" s="146" t="str">
        <f ca="1">RESULTADOS!BT26</f>
        <v>N/D</v>
      </c>
      <c r="CQ9" s="146" t="str">
        <f ca="1">RESULTADOS!BU26</f>
        <v>N/D</v>
      </c>
      <c r="CR9" s="146" t="str">
        <f ca="1">RESULTADOS!BV26</f>
        <v>N/D</v>
      </c>
      <c r="CS9" s="146" t="str">
        <f ca="1">RESULTADOS!BW26</f>
        <v>N/D</v>
      </c>
      <c r="CT9" s="146" t="str">
        <f ca="1">RESULTADOS!BX26</f>
        <v>N/D</v>
      </c>
      <c r="CU9" s="146" t="str">
        <f ca="1">RESULTADOS!BY26</f>
        <v>N/T</v>
      </c>
      <c r="CV9" s="146" t="str">
        <f ca="1">RESULTADOS!BZ26</f>
        <v>N/T</v>
      </c>
      <c r="CW9" s="146" t="str">
        <f ca="1">RESULTADOS!CA26</f>
        <v>N/D</v>
      </c>
      <c r="CX9" s="146" t="str">
        <f ca="1">RESULTADOS!CB26</f>
        <v>N/T</v>
      </c>
      <c r="CY9" s="146" t="str">
        <f ca="1">RESULTADOS!CC26</f>
        <v>N/T</v>
      </c>
      <c r="CZ9" s="146" t="str">
        <f ca="1">RESULTADOS!CD26</f>
        <v>N/T</v>
      </c>
      <c r="DA9" s="146" t="str">
        <f ca="1">RESULTADOS!CE26</f>
        <v>N/D</v>
      </c>
      <c r="DB9" s="146" t="str">
        <f ca="1">RESULTADOS!CF26</f>
        <v>N/T</v>
      </c>
      <c r="DC9" s="146" t="str">
        <f ca="1">RESULTADOS!CG26</f>
        <v>N/T</v>
      </c>
      <c r="DD9" s="146" t="str">
        <f ca="1">RESULTADOS!CH26</f>
        <v>N/T</v>
      </c>
      <c r="DE9" s="146" t="str">
        <f ca="1">RESULTADOS!CI26</f>
        <v>N/T</v>
      </c>
      <c r="DF9" s="146" t="str">
        <f ca="1">RESULTADOS!CJ26</f>
        <v>N/T</v>
      </c>
      <c r="DG9" s="146" t="str">
        <f ca="1">RESULTADOS!CK26</f>
        <v>N/T</v>
      </c>
      <c r="DH9" s="146" t="str">
        <f ca="1">RESULTADOS!CL26</f>
        <v>N/T</v>
      </c>
      <c r="DI9" s="146" t="str">
        <f ca="1">RESULTADOS!CM26</f>
        <v>N/T</v>
      </c>
      <c r="DJ9" s="146" t="str">
        <f ca="1">RESULTADOS!CN26</f>
        <v>N/T</v>
      </c>
      <c r="DK9" s="146" t="str">
        <f ca="1">RESULTADOS!CO26</f>
        <v>N/T</v>
      </c>
      <c r="DL9" s="146" t="str">
        <f ca="1">RESULTADOS!CP26</f>
        <v>N/T</v>
      </c>
      <c r="DM9" s="146" t="str">
        <f ca="1">RESULTADOS!CQ26</f>
        <v>N/T</v>
      </c>
      <c r="DN9" s="146" t="str">
        <f ca="1">RESULTADOS!CR26</f>
        <v>N/T</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284</v>
      </c>
      <c r="D10" s="147" t="n">
        <f>'01.Definición de ámbito'!C27</f>
        <v>0.0</v>
      </c>
      <c r="E10" s="144" t="s">
        <v>303</v>
      </c>
      <c r="F10" s="147" t="str">
        <f>'02.Tecnologías'!F12</f>
        <v>No</v>
      </c>
      <c r="G10" s="147" t="n">
        <f>'02.Tecnologías'!K20</f>
        <v>0.0</v>
      </c>
      <c r="H10" s="147" t="n">
        <f>'02.Tecnologías'!L20</f>
        <v>0.0</v>
      </c>
      <c r="I10" s="206"/>
      <c r="J10" s="206"/>
      <c r="K10" s="144" t="s">
        <v>349</v>
      </c>
      <c r="L10" s="144"/>
      <c r="M10" s="144"/>
      <c r="T10" s="148" t="n">
        <f>RESULTADOS!B27</f>
        <v>1.0</v>
      </c>
      <c r="U10" s="148" t="str">
        <f>RESULTADOS!C27</f>
        <v>Home - PortCastelló</v>
      </c>
      <c r="V10" s="148" t="str">
        <f t="shared" si="0"/>
        <v>Página web</v>
      </c>
      <c r="W10" s="148" t="str">
        <v/>
      </c>
      <c r="X10" s="148" t="str">
        <f>RESULTADOS!D27</f>
        <v>https://www.portcastello.com/</v>
      </c>
      <c r="Y10" s="148" t="n">
        <v>0.0</v>
      </c>
      <c r="Z10" s="237" t="str">
        <v>Ej. Imágenes, tablas, listas, multimedia, formularios, plantilla X, plantilla Y</v>
      </c>
      <c r="AA10" s="146" t="str">
        <f ca="1">RESULTADOS!E27</f>
        <v>N/T</v>
      </c>
      <c r="AB10" s="146" t="str">
        <f ca="1">RESULTADOS!F27</f>
        <v>N/T</v>
      </c>
      <c r="AC10" s="146" t="str">
        <f ca="1">RESULTADOS!G27</f>
        <v>N/T</v>
      </c>
      <c r="AD10" s="146" t="str">
        <f ca="1">RESULTADOS!H27</f>
        <v>N/T</v>
      </c>
      <c r="AE10" s="146" t="str">
        <f ca="1">RESULTADOS!I27</f>
        <v>N/T</v>
      </c>
      <c r="AF10" s="146" t="str">
        <f ca="1">RESULTADOS!J27</f>
        <v>N/T</v>
      </c>
      <c r="AG10" s="146" t="str">
        <f ca="1">RESULTADOS!K27</f>
        <v>N/T</v>
      </c>
      <c r="AH10" s="146" t="str">
        <f ca="1">RESULTADOS!L27</f>
        <v>N/T</v>
      </c>
      <c r="AI10" s="146" t="str">
        <f ca="1">RESULTADOS!M27</f>
        <v>N/T</v>
      </c>
      <c r="AJ10" s="146" t="str">
        <f ca="1">RESULTADOS!N27</f>
        <v>N/T</v>
      </c>
      <c r="AK10" s="146" t="str">
        <f ca="1">RESULTADOS!O27</f>
        <v>N/T</v>
      </c>
      <c r="AL10" s="146" t="str">
        <f ca="1">RESULTADOS!P27</f>
        <v>N/T</v>
      </c>
      <c r="AM10" s="146" t="str">
        <f ca="1">RESULTADOS!Q27</f>
        <v>N/T</v>
      </c>
      <c r="AN10" s="146" t="str">
        <f ca="1">RESULTADOS!R27</f>
        <v>N/T</v>
      </c>
      <c r="AO10" s="146" t="str">
        <f ca="1">RESULTADOS!S27</f>
        <v>N/T</v>
      </c>
      <c r="AP10" s="146" t="str">
        <f ca="1">RESULTADOS!T27</f>
        <v>N/T</v>
      </c>
      <c r="AQ10" s="146" t="str">
        <f ca="1">RESULTADOS!U27</f>
        <v>N/T</v>
      </c>
      <c r="AR10" s="146" t="str">
        <f ca="1">RESULTADOS!V27</f>
        <v>N/T</v>
      </c>
      <c r="AS10" s="146" t="str">
        <f ca="1">RESULTADOS!W27</f>
        <v>N/T</v>
      </c>
      <c r="AT10" s="146" t="str">
        <f ca="1">RESULTADOS!X27</f>
        <v>N/T</v>
      </c>
      <c r="AU10" s="146" t="str">
        <f ca="1">RESULTADOS!Y27</f>
        <v>N/T</v>
      </c>
      <c r="AV10" s="146" t="str">
        <f ca="1">RESULTADOS!Z27</f>
        <v>N/T</v>
      </c>
      <c r="AW10" s="146" t="str">
        <f ca="1">RESULTADOS!AA27</f>
        <v>N/T</v>
      </c>
      <c r="AX10" s="146" t="str">
        <f ca="1">RESULTADOS!AB27</f>
        <v>N/T</v>
      </c>
      <c r="AY10" s="146" t="str">
        <f ca="1">RESULTADOS!AC27</f>
        <v>N/T</v>
      </c>
      <c r="AZ10" s="146" t="str">
        <f ca="1">RESULTADOS!AD27</f>
        <v>N/T</v>
      </c>
      <c r="BA10" s="146" t="str">
        <f ca="1">RESULTADOS!AE27</f>
        <v>N/T</v>
      </c>
      <c r="BB10" s="146" t="str">
        <f ca="1">RESULTADOS!AF27</f>
        <v>N/T</v>
      </c>
      <c r="BC10" s="146" t="str">
        <f ca="1">RESULTADOS!AG27</f>
        <v>N/T</v>
      </c>
      <c r="BD10" s="146" t="str">
        <f ca="1">RESULTADOS!AH27</f>
        <v>N/T</v>
      </c>
      <c r="BE10" s="146" t="str">
        <f ca="1">RESULTADOS!AI27</f>
        <v>N/T</v>
      </c>
      <c r="BF10" s="146" t="str">
        <f ca="1">RESULTADOS!AJ27</f>
        <v>N/D</v>
      </c>
      <c r="BG10" s="146" t="str">
        <f ca="1">RESULTADOS!AK27</f>
        <v>N/T</v>
      </c>
      <c r="BH10" s="146" t="str">
        <f ca="1">RESULTADOS!AL27</f>
        <v>N/T</v>
      </c>
      <c r="BI10" s="146" t="str">
        <f ca="1">RESULTADOS!AM27</f>
        <v>N/T</v>
      </c>
      <c r="BJ10" s="146" t="str">
        <f ca="1">RESULTADOS!AN27</f>
        <v>N/T</v>
      </c>
      <c r="BK10" s="146" t="str">
        <f ca="1">RESULTADOS!AO27</f>
        <v>N/D</v>
      </c>
      <c r="BL10" s="146" t="str">
        <f ca="1">RESULTADOS!AP27</f>
        <v>N/T</v>
      </c>
      <c r="BM10" s="146" t="str">
        <f ca="1">RESULTADOS!AQ27</f>
        <v>N/T</v>
      </c>
      <c r="BN10" s="146" t="str">
        <f ca="1">RESULTADOS!AR27</f>
        <v>N/D</v>
      </c>
      <c r="BO10" s="146" t="str">
        <f ca="1">RESULTADOS!AS27</f>
        <v>N/D</v>
      </c>
      <c r="BP10" s="146" t="str">
        <f ca="1">RESULTADOS!AT27</f>
        <v>N/T</v>
      </c>
      <c r="BQ10" s="146" t="str">
        <f ca="1">RESULTADOS!AU27</f>
        <v>N/T</v>
      </c>
      <c r="BR10" s="146" t="str">
        <f ca="1">RESULTADOS!AV27</f>
        <v>N/D</v>
      </c>
      <c r="BS10" s="146" t="str">
        <f ca="1">RESULTADOS!AW27</f>
        <v>N/T</v>
      </c>
      <c r="BT10" s="146" t="str">
        <f ca="1">RESULTADOS!AX27</f>
        <v>N/T</v>
      </c>
      <c r="BU10" s="146" t="str">
        <f ca="1">RESULTADOS!AY27</f>
        <v>N/D</v>
      </c>
      <c r="BV10" s="146" t="str">
        <f ca="1">RESULTADOS!AZ27</f>
        <v>N/T</v>
      </c>
      <c r="BW10" s="146" t="str">
        <f ca="1">RESULTADOS!BA27</f>
        <v>N/D</v>
      </c>
      <c r="BX10" s="146" t="str">
        <f ca="1">RESULTADOS!BB27</f>
        <v>N/T</v>
      </c>
      <c r="BY10" s="146" t="str">
        <f ca="1">RESULTADOS!BC27</f>
        <v>N/D</v>
      </c>
      <c r="BZ10" s="146" t="str">
        <f ca="1">RESULTADOS!BD27</f>
        <v>N/T</v>
      </c>
      <c r="CA10" s="146" t="str">
        <f ca="1">RESULTADOS!BE27</f>
        <v>N/T</v>
      </c>
      <c r="CB10" s="146" t="str">
        <f ca="1">RESULTADOS!BF27</f>
        <v>N/D</v>
      </c>
      <c r="CC10" s="146" t="str">
        <f ca="1">RESULTADOS!BG27</f>
        <v>N/D</v>
      </c>
      <c r="CD10" s="146" t="str">
        <f ca="1">RESULTADOS!BH27</f>
        <v>N/T</v>
      </c>
      <c r="CE10" s="146" t="str">
        <f ca="1">RESULTADOS!BI27</f>
        <v>N/D</v>
      </c>
      <c r="CF10" s="146" t="str">
        <f ca="1">RESULTADOS!BJ27</f>
        <v>N/D</v>
      </c>
      <c r="CG10" s="146" t="str">
        <f ca="1">RESULTADOS!BK27</f>
        <v>N/D</v>
      </c>
      <c r="CH10" s="146" t="str">
        <f ca="1">RESULTADOS!BL27</f>
        <v>N/D</v>
      </c>
      <c r="CI10" s="146" t="str">
        <f ca="1">RESULTADOS!BM27</f>
        <v>N/D</v>
      </c>
      <c r="CJ10" s="146" t="str">
        <f ca="1">RESULTADOS!BN27</f>
        <v>N/T</v>
      </c>
      <c r="CK10" s="146" t="str">
        <f ca="1">RESULTADOS!BO27</f>
        <v>N/D</v>
      </c>
      <c r="CL10" s="146" t="str">
        <f ca="1">RESULTADOS!BP27</f>
        <v>N/T</v>
      </c>
      <c r="CM10" s="146" t="str">
        <f ca="1">RESULTADOS!BQ27</f>
        <v>N/T</v>
      </c>
      <c r="CN10" s="146" t="str">
        <f ca="1">RESULTADOS!BR27</f>
        <v>N/D</v>
      </c>
      <c r="CO10" s="146" t="str">
        <f ca="1">RESULTADOS!BS27</f>
        <v>N/T</v>
      </c>
      <c r="CP10" s="146" t="str">
        <f ca="1">RESULTADOS!BT27</f>
        <v>N/D</v>
      </c>
      <c r="CQ10" s="146" t="str">
        <f ca="1">RESULTADOS!BU27</f>
        <v>N/D</v>
      </c>
      <c r="CR10" s="146" t="str">
        <f ca="1">RESULTADOS!BV27</f>
        <v>N/D</v>
      </c>
      <c r="CS10" s="146" t="str">
        <f ca="1">RESULTADOS!BW27</f>
        <v>N/D</v>
      </c>
      <c r="CT10" s="146" t="str">
        <f ca="1">RESULTADOS!BX27</f>
        <v>N/D</v>
      </c>
      <c r="CU10" s="146" t="str">
        <f ca="1">RESULTADOS!BY27</f>
        <v>N/T</v>
      </c>
      <c r="CV10" s="146" t="str">
        <f ca="1">RESULTADOS!BZ27</f>
        <v>N/T</v>
      </c>
      <c r="CW10" s="146" t="str">
        <f ca="1">RESULTADOS!CA27</f>
        <v>N/D</v>
      </c>
      <c r="CX10" s="146" t="str">
        <f ca="1">RESULTADOS!CB27</f>
        <v>N/T</v>
      </c>
      <c r="CY10" s="146" t="str">
        <f ca="1">RESULTADOS!CC27</f>
        <v>N/T</v>
      </c>
      <c r="CZ10" s="146" t="str">
        <f ca="1">RESULTADOS!CD27</f>
        <v>N/T</v>
      </c>
      <c r="DA10" s="146" t="str">
        <f ca="1">RESULTADOS!CE27</f>
        <v>N/D</v>
      </c>
      <c r="DB10" s="146" t="str">
        <f ca="1">RESULTADOS!CF27</f>
        <v>N/T</v>
      </c>
      <c r="DC10" s="146" t="str">
        <f ca="1">RESULTADOS!CG27</f>
        <v>N/T</v>
      </c>
      <c r="DD10" s="146" t="str">
        <f ca="1">RESULTADOS!CH27</f>
        <v>N/T</v>
      </c>
      <c r="DE10" s="146" t="str">
        <f ca="1">RESULTADOS!CI27</f>
        <v>N/T</v>
      </c>
      <c r="DF10" s="146" t="str">
        <f ca="1">RESULTADOS!CJ27</f>
        <v>N/T</v>
      </c>
      <c r="DG10" s="146" t="str">
        <f ca="1">RESULTADOS!CK27</f>
        <v>N/T</v>
      </c>
      <c r="DH10" s="146" t="str">
        <f ca="1">RESULTADOS!CL27</f>
        <v>N/T</v>
      </c>
      <c r="DI10" s="146" t="str">
        <f ca="1">RESULTADOS!CM27</f>
        <v>N/T</v>
      </c>
      <c r="DJ10" s="146" t="str">
        <f ca="1">RESULTADOS!CN27</f>
        <v>N/T</v>
      </c>
      <c r="DK10" s="146" t="str">
        <f ca="1">RESULTADOS!CO27</f>
        <v>N/T</v>
      </c>
      <c r="DL10" s="146" t="str">
        <f ca="1">RESULTADOS!CP27</f>
        <v>N/T</v>
      </c>
      <c r="DM10" s="146" t="str">
        <f ca="1">RESULTADOS!CQ27</f>
        <v>N/T</v>
      </c>
      <c r="DN10" s="146" t="str">
        <f ca="1">RESULTADOS!CR27</f>
        <v>N/T</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285</v>
      </c>
      <c r="D11" s="147" t="n">
        <f>'01.Definición de ámbito'!C29</f>
        <v>0.0</v>
      </c>
      <c r="E11" s="144" t="s">
        <v>308</v>
      </c>
      <c r="F11" s="147" t="str">
        <f>'02.Tecnologías'!F13</f>
        <v>No</v>
      </c>
      <c r="G11" s="147" t="n">
        <f>'02.Tecnologías'!K21</f>
        <v>0.0</v>
      </c>
      <c r="H11" s="147" t="n">
        <f>'02.Tecnologías'!L21</f>
        <v>0.0</v>
      </c>
      <c r="I11" s="206"/>
      <c r="J11" s="206"/>
      <c r="K11" s="144" t="s">
        <v>39</v>
      </c>
      <c r="L11" s="144"/>
      <c r="M11" s="144"/>
      <c r="N11" s="144"/>
      <c r="O11" s="144"/>
      <c r="P11" s="144"/>
      <c r="T11" s="148" t="n">
        <f>RESULTADOS!B28</f>
        <v>1.0</v>
      </c>
      <c r="U11" s="148" t="str">
        <f>RESULTADOS!C28</f>
        <v>Home - PortCastelló</v>
      </c>
      <c r="V11" s="148" t="str">
        <f t="shared" si="0"/>
        <v>Página web</v>
      </c>
      <c r="W11" s="148" t="str">
        <v/>
      </c>
      <c r="X11" s="148" t="str">
        <f>RESULTADOS!D28</f>
        <v>https://www.portcastello.com/</v>
      </c>
      <c r="Y11" s="148" t="n">
        <v>0.0</v>
      </c>
      <c r="Z11" s="237" t="str">
        <v>Ej. Imágenes, tablas, listas, multimedia, formularios, plantilla X, plantilla Y</v>
      </c>
      <c r="AA11" s="146" t="str">
        <f ca="1">RESULTADOS!E28</f>
        <v>N/T</v>
      </c>
      <c r="AB11" s="146" t="str">
        <f ca="1">RESULTADOS!F28</f>
        <v>N/T</v>
      </c>
      <c r="AC11" s="146" t="str">
        <f ca="1">RESULTADOS!G28</f>
        <v>N/T</v>
      </c>
      <c r="AD11" s="146" t="str">
        <f ca="1">RESULTADOS!H28</f>
        <v>N/T</v>
      </c>
      <c r="AE11" s="146" t="str">
        <f ca="1">RESULTADOS!I28</f>
        <v>N/T</v>
      </c>
      <c r="AF11" s="146" t="str">
        <f ca="1">RESULTADOS!J28</f>
        <v>N/T</v>
      </c>
      <c r="AG11" s="146" t="str">
        <f ca="1">RESULTADOS!K28</f>
        <v>N/T</v>
      </c>
      <c r="AH11" s="146" t="str">
        <f ca="1">RESULTADOS!L28</f>
        <v>N/T</v>
      </c>
      <c r="AI11" s="146" t="str">
        <f ca="1">RESULTADOS!M28</f>
        <v>N/T</v>
      </c>
      <c r="AJ11" s="146" t="str">
        <f ca="1">RESULTADOS!N28</f>
        <v>N/T</v>
      </c>
      <c r="AK11" s="146" t="str">
        <f ca="1">RESULTADOS!O28</f>
        <v>N/T</v>
      </c>
      <c r="AL11" s="146" t="str">
        <f ca="1">RESULTADOS!P28</f>
        <v>N/T</v>
      </c>
      <c r="AM11" s="146" t="str">
        <f ca="1">RESULTADOS!Q28</f>
        <v>N/T</v>
      </c>
      <c r="AN11" s="146" t="str">
        <f ca="1">RESULTADOS!R28</f>
        <v>N/T</v>
      </c>
      <c r="AO11" s="146" t="str">
        <f ca="1">RESULTADOS!S28</f>
        <v>N/T</v>
      </c>
      <c r="AP11" s="146" t="str">
        <f ca="1">RESULTADOS!T28</f>
        <v>N/T</v>
      </c>
      <c r="AQ11" s="146" t="str">
        <f ca="1">RESULTADOS!U28</f>
        <v>N/T</v>
      </c>
      <c r="AR11" s="146" t="str">
        <f ca="1">RESULTADOS!V28</f>
        <v>N/T</v>
      </c>
      <c r="AS11" s="146" t="str">
        <f ca="1">RESULTADOS!W28</f>
        <v>N/T</v>
      </c>
      <c r="AT11" s="146" t="str">
        <f ca="1">RESULTADOS!X28</f>
        <v>N/T</v>
      </c>
      <c r="AU11" s="146" t="str">
        <f ca="1">RESULTADOS!Y28</f>
        <v>N/T</v>
      </c>
      <c r="AV11" s="146" t="str">
        <f ca="1">RESULTADOS!Z28</f>
        <v>N/T</v>
      </c>
      <c r="AW11" s="146" t="str">
        <f ca="1">RESULTADOS!AA28</f>
        <v>N/T</v>
      </c>
      <c r="AX11" s="146" t="str">
        <f ca="1">RESULTADOS!AB28</f>
        <v>N/T</v>
      </c>
      <c r="AY11" s="146" t="str">
        <f ca="1">RESULTADOS!AC28</f>
        <v>N/T</v>
      </c>
      <c r="AZ11" s="146" t="str">
        <f ca="1">RESULTADOS!AD28</f>
        <v>N/T</v>
      </c>
      <c r="BA11" s="146" t="str">
        <f ca="1">RESULTADOS!AE28</f>
        <v>N/T</v>
      </c>
      <c r="BB11" s="146" t="str">
        <f ca="1">RESULTADOS!AF28</f>
        <v>N/T</v>
      </c>
      <c r="BC11" s="146" t="str">
        <f ca="1">RESULTADOS!AG28</f>
        <v>N/T</v>
      </c>
      <c r="BD11" s="146" t="str">
        <f ca="1">RESULTADOS!AH28</f>
        <v>N/T</v>
      </c>
      <c r="BE11" s="146" t="str">
        <f ca="1">RESULTADOS!AI28</f>
        <v>N/T</v>
      </c>
      <c r="BF11" s="146" t="str">
        <f ca="1">RESULTADOS!AJ28</f>
        <v>N/D</v>
      </c>
      <c r="BG11" s="146" t="str">
        <f ca="1">RESULTADOS!AK28</f>
        <v>N/T</v>
      </c>
      <c r="BH11" s="146" t="str">
        <f ca="1">RESULTADOS!AL28</f>
        <v>N/T</v>
      </c>
      <c r="BI11" s="146" t="str">
        <f ca="1">RESULTADOS!AM28</f>
        <v>N/T</v>
      </c>
      <c r="BJ11" s="146" t="str">
        <f ca="1">RESULTADOS!AN28</f>
        <v>N/T</v>
      </c>
      <c r="BK11" s="146" t="str">
        <f ca="1">RESULTADOS!AO28</f>
        <v>N/D</v>
      </c>
      <c r="BL11" s="146" t="str">
        <f ca="1">RESULTADOS!AP28</f>
        <v>N/T</v>
      </c>
      <c r="BM11" s="146" t="str">
        <f ca="1">RESULTADOS!AQ28</f>
        <v>N/T</v>
      </c>
      <c r="BN11" s="146" t="str">
        <f ca="1">RESULTADOS!AR28</f>
        <v>N/D</v>
      </c>
      <c r="BO11" s="146" t="str">
        <f ca="1">RESULTADOS!AS28</f>
        <v>N/D</v>
      </c>
      <c r="BP11" s="146" t="str">
        <f ca="1">RESULTADOS!AT28</f>
        <v>N/T</v>
      </c>
      <c r="BQ11" s="146" t="str">
        <f ca="1">RESULTADOS!AU28</f>
        <v>N/T</v>
      </c>
      <c r="BR11" s="146" t="str">
        <f ca="1">RESULTADOS!AV28</f>
        <v>N/D</v>
      </c>
      <c r="BS11" s="146" t="str">
        <f ca="1">RESULTADOS!AW28</f>
        <v>N/T</v>
      </c>
      <c r="BT11" s="146" t="str">
        <f ca="1">RESULTADOS!AX28</f>
        <v>N/T</v>
      </c>
      <c r="BU11" s="146" t="str">
        <f ca="1">RESULTADOS!AY28</f>
        <v>N/D</v>
      </c>
      <c r="BV11" s="146" t="str">
        <f ca="1">RESULTADOS!AZ28</f>
        <v>N/T</v>
      </c>
      <c r="BW11" s="146" t="str">
        <f ca="1">RESULTADOS!BA28</f>
        <v>N/D</v>
      </c>
      <c r="BX11" s="146" t="str">
        <f ca="1">RESULTADOS!BB28</f>
        <v>N/T</v>
      </c>
      <c r="BY11" s="146" t="str">
        <f ca="1">RESULTADOS!BC28</f>
        <v>N/D</v>
      </c>
      <c r="BZ11" s="146" t="str">
        <f ca="1">RESULTADOS!BD28</f>
        <v>N/T</v>
      </c>
      <c r="CA11" s="146" t="str">
        <f ca="1">RESULTADOS!BE28</f>
        <v>N/T</v>
      </c>
      <c r="CB11" s="146" t="str">
        <f ca="1">RESULTADOS!BF28</f>
        <v>N/D</v>
      </c>
      <c r="CC11" s="146" t="str">
        <f ca="1">RESULTADOS!BG28</f>
        <v>N/D</v>
      </c>
      <c r="CD11" s="146" t="str">
        <f ca="1">RESULTADOS!BH28</f>
        <v>N/T</v>
      </c>
      <c r="CE11" s="146" t="str">
        <f ca="1">RESULTADOS!BI28</f>
        <v>N/D</v>
      </c>
      <c r="CF11" s="146" t="str">
        <f ca="1">RESULTADOS!BJ28</f>
        <v>N/D</v>
      </c>
      <c r="CG11" s="146" t="str">
        <f ca="1">RESULTADOS!BK28</f>
        <v>N/D</v>
      </c>
      <c r="CH11" s="146" t="str">
        <f ca="1">RESULTADOS!BL28</f>
        <v>N/D</v>
      </c>
      <c r="CI11" s="146" t="str">
        <f ca="1">RESULTADOS!BM28</f>
        <v>N/D</v>
      </c>
      <c r="CJ11" s="146" t="str">
        <f ca="1">RESULTADOS!BN28</f>
        <v>N/T</v>
      </c>
      <c r="CK11" s="146" t="str">
        <f ca="1">RESULTADOS!BO28</f>
        <v>N/D</v>
      </c>
      <c r="CL11" s="146" t="str">
        <f ca="1">RESULTADOS!BP28</f>
        <v>N/T</v>
      </c>
      <c r="CM11" s="146" t="str">
        <f ca="1">RESULTADOS!BQ28</f>
        <v>N/T</v>
      </c>
      <c r="CN11" s="146" t="str">
        <f ca="1">RESULTADOS!BR28</f>
        <v>N/D</v>
      </c>
      <c r="CO11" s="146" t="str">
        <f ca="1">RESULTADOS!BS28</f>
        <v>N/T</v>
      </c>
      <c r="CP11" s="146" t="str">
        <f ca="1">RESULTADOS!BT28</f>
        <v>N/D</v>
      </c>
      <c r="CQ11" s="146" t="str">
        <f ca="1">RESULTADOS!BU28</f>
        <v>N/D</v>
      </c>
      <c r="CR11" s="146" t="str">
        <f ca="1">RESULTADOS!BV28</f>
        <v>N/D</v>
      </c>
      <c r="CS11" s="146" t="str">
        <f ca="1">RESULTADOS!BW28</f>
        <v>N/D</v>
      </c>
      <c r="CT11" s="146" t="str">
        <f ca="1">RESULTADOS!BX28</f>
        <v>N/D</v>
      </c>
      <c r="CU11" s="146" t="str">
        <f ca="1">RESULTADOS!BY28</f>
        <v>N/T</v>
      </c>
      <c r="CV11" s="146" t="str">
        <f ca="1">RESULTADOS!BZ28</f>
        <v>N/T</v>
      </c>
      <c r="CW11" s="146" t="str">
        <f ca="1">RESULTADOS!CA28</f>
        <v>N/D</v>
      </c>
      <c r="CX11" s="146" t="str">
        <f ca="1">RESULTADOS!CB28</f>
        <v>N/T</v>
      </c>
      <c r="CY11" s="146" t="str">
        <f ca="1">RESULTADOS!CC28</f>
        <v>N/T</v>
      </c>
      <c r="CZ11" s="146" t="str">
        <f ca="1">RESULTADOS!CD28</f>
        <v>N/T</v>
      </c>
      <c r="DA11" s="146" t="str">
        <f ca="1">RESULTADOS!CE28</f>
        <v>N/D</v>
      </c>
      <c r="DB11" s="146" t="str">
        <f ca="1">RESULTADOS!CF28</f>
        <v>N/T</v>
      </c>
      <c r="DC11" s="146" t="str">
        <f ca="1">RESULTADOS!CG28</f>
        <v>N/T</v>
      </c>
      <c r="DD11" s="146" t="str">
        <f ca="1">RESULTADOS!CH28</f>
        <v>N/T</v>
      </c>
      <c r="DE11" s="146" t="str">
        <f ca="1">RESULTADOS!CI28</f>
        <v>N/T</v>
      </c>
      <c r="DF11" s="146" t="str">
        <f ca="1">RESULTADOS!CJ28</f>
        <v>N/T</v>
      </c>
      <c r="DG11" s="146" t="str">
        <f ca="1">RESULTADOS!CK28</f>
        <v>N/T</v>
      </c>
      <c r="DH11" s="146" t="str">
        <f ca="1">RESULTADOS!CL28</f>
        <v>N/T</v>
      </c>
      <c r="DI11" s="146" t="str">
        <f ca="1">RESULTADOS!CM28</f>
        <v>N/T</v>
      </c>
      <c r="DJ11" s="146" t="str">
        <f ca="1">RESULTADOS!CN28</f>
        <v>N/T</v>
      </c>
      <c r="DK11" s="146" t="str">
        <f ca="1">RESULTADOS!CO28</f>
        <v>N/T</v>
      </c>
      <c r="DL11" s="146" t="str">
        <f ca="1">RESULTADOS!CP28</f>
        <v>N/T</v>
      </c>
      <c r="DM11" s="146" t="str">
        <f ca="1">RESULTADOS!CQ28</f>
        <v>N/T</v>
      </c>
      <c r="DN11" s="146" t="str">
        <f ca="1">RESULTADOS!CR28</f>
        <v>N/T</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139</v>
      </c>
      <c r="D12" s="147" t="n">
        <f>'01.Definición de ámbito'!C31</f>
        <v>0.0</v>
      </c>
      <c r="E12" s="144" t="s">
        <v>295</v>
      </c>
      <c r="F12" s="147" t="str">
        <f>'02.Tecnologías'!I9</f>
        <v>No</v>
      </c>
      <c r="G12" s="147" t="n">
        <f>'02.Tecnologías'!K22</f>
        <v>0.0</v>
      </c>
      <c r="H12" s="147" t="n">
        <f>'02.Tecnologías'!L22</f>
        <v>0.0</v>
      </c>
      <c r="I12" s="206"/>
      <c r="J12" s="206"/>
      <c r="K12" s="23" t="s">
        <v>133</v>
      </c>
      <c r="L12" s="23" t="s">
        <v>42</v>
      </c>
      <c r="M12" s="23" t="s">
        <v>43</v>
      </c>
      <c r="N12" s="23" t="s">
        <v>31</v>
      </c>
      <c r="O12" s="23" t="s">
        <v>44</v>
      </c>
      <c r="P12" s="23" t="s">
        <v>134</v>
      </c>
      <c r="T12" s="148" t="n">
        <f>RESULTADOS!B29</f>
        <v>1.0</v>
      </c>
      <c r="U12" s="148" t="str">
        <f>RESULTADOS!C29</f>
        <v>Home - PortCastelló</v>
      </c>
      <c r="V12" s="148" t="str">
        <f t="shared" si="0"/>
        <v>Página web</v>
      </c>
      <c r="W12" s="148" t="str">
        <v/>
      </c>
      <c r="X12" s="148" t="str">
        <f>RESULTADOS!D29</f>
        <v>https://www.portcastello.com/</v>
      </c>
      <c r="Y12" s="148" t="n">
        <v>0.0</v>
      </c>
      <c r="Z12" s="237" t="str">
        <v>Ej. Imágenes, tablas, listas, multimedia, formularios, plantilla X, plantilla Y</v>
      </c>
      <c r="AA12" s="146" t="str">
        <f ca="1">RESULTADOS!E29</f>
        <v>N/T</v>
      </c>
      <c r="AB12" s="146" t="str">
        <f ca="1">RESULTADOS!F29</f>
        <v>N/T</v>
      </c>
      <c r="AC12" s="146" t="str">
        <f ca="1">RESULTADOS!G29</f>
        <v>N/T</v>
      </c>
      <c r="AD12" s="146" t="str">
        <f ca="1">RESULTADOS!H29</f>
        <v>N/T</v>
      </c>
      <c r="AE12" s="146" t="str">
        <f ca="1">RESULTADOS!I29</f>
        <v>N/T</v>
      </c>
      <c r="AF12" s="146" t="str">
        <f ca="1">RESULTADOS!J29</f>
        <v>N/T</v>
      </c>
      <c r="AG12" s="146" t="str">
        <f ca="1">RESULTADOS!K29</f>
        <v>N/T</v>
      </c>
      <c r="AH12" s="146" t="str">
        <f ca="1">RESULTADOS!L29</f>
        <v>N/T</v>
      </c>
      <c r="AI12" s="146" t="str">
        <f ca="1">RESULTADOS!M29</f>
        <v>N/T</v>
      </c>
      <c r="AJ12" s="146" t="str">
        <f ca="1">RESULTADOS!N29</f>
        <v>N/T</v>
      </c>
      <c r="AK12" s="146" t="str">
        <f ca="1">RESULTADOS!O29</f>
        <v>N/T</v>
      </c>
      <c r="AL12" s="146" t="str">
        <f ca="1">RESULTADOS!P29</f>
        <v>N/T</v>
      </c>
      <c r="AM12" s="146" t="str">
        <f ca="1">RESULTADOS!Q29</f>
        <v>N/T</v>
      </c>
      <c r="AN12" s="146" t="str">
        <f ca="1">RESULTADOS!R29</f>
        <v>N/T</v>
      </c>
      <c r="AO12" s="146" t="str">
        <f ca="1">RESULTADOS!S29</f>
        <v>N/T</v>
      </c>
      <c r="AP12" s="146" t="str">
        <f ca="1">RESULTADOS!T29</f>
        <v>N/T</v>
      </c>
      <c r="AQ12" s="146" t="str">
        <f ca="1">RESULTADOS!U29</f>
        <v>N/T</v>
      </c>
      <c r="AR12" s="146" t="str">
        <f ca="1">RESULTADOS!V29</f>
        <v>N/T</v>
      </c>
      <c r="AS12" s="146" t="str">
        <f ca="1">RESULTADOS!W29</f>
        <v>N/T</v>
      </c>
      <c r="AT12" s="146" t="str">
        <f ca="1">RESULTADOS!X29</f>
        <v>N/T</v>
      </c>
      <c r="AU12" s="146" t="str">
        <f ca="1">RESULTADOS!Y29</f>
        <v>N/T</v>
      </c>
      <c r="AV12" s="146" t="str">
        <f ca="1">RESULTADOS!Z29</f>
        <v>N/T</v>
      </c>
      <c r="AW12" s="146" t="str">
        <f ca="1">RESULTADOS!AA29</f>
        <v>N/T</v>
      </c>
      <c r="AX12" s="146" t="str">
        <f ca="1">RESULTADOS!AB29</f>
        <v>N/T</v>
      </c>
      <c r="AY12" s="146" t="str">
        <f ca="1">RESULTADOS!AC29</f>
        <v>N/T</v>
      </c>
      <c r="AZ12" s="146" t="str">
        <f ca="1">RESULTADOS!AD29</f>
        <v>N/T</v>
      </c>
      <c r="BA12" s="146" t="str">
        <f ca="1">RESULTADOS!AE29</f>
        <v>N/T</v>
      </c>
      <c r="BB12" s="146" t="str">
        <f ca="1">RESULTADOS!AF29</f>
        <v>N/T</v>
      </c>
      <c r="BC12" s="146" t="str">
        <f ca="1">RESULTADOS!AG29</f>
        <v>N/T</v>
      </c>
      <c r="BD12" s="146" t="str">
        <f ca="1">RESULTADOS!AH29</f>
        <v>N/T</v>
      </c>
      <c r="BE12" s="146" t="str">
        <f ca="1">RESULTADOS!AI29</f>
        <v>N/T</v>
      </c>
      <c r="BF12" s="146" t="str">
        <f ca="1">RESULTADOS!AJ29</f>
        <v>N/D</v>
      </c>
      <c r="BG12" s="146" t="str">
        <f ca="1">RESULTADOS!AK29</f>
        <v>N/T</v>
      </c>
      <c r="BH12" s="146" t="str">
        <f ca="1">RESULTADOS!AL29</f>
        <v>N/T</v>
      </c>
      <c r="BI12" s="146" t="str">
        <f ca="1">RESULTADOS!AM29</f>
        <v>N/T</v>
      </c>
      <c r="BJ12" s="146" t="str">
        <f ca="1">RESULTADOS!AN29</f>
        <v>N/T</v>
      </c>
      <c r="BK12" s="146" t="str">
        <f ca="1">RESULTADOS!AO29</f>
        <v>N/D</v>
      </c>
      <c r="BL12" s="146" t="str">
        <f ca="1">RESULTADOS!AP29</f>
        <v>N/T</v>
      </c>
      <c r="BM12" s="146" t="str">
        <f ca="1">RESULTADOS!AQ29</f>
        <v>N/T</v>
      </c>
      <c r="BN12" s="146" t="str">
        <f ca="1">RESULTADOS!AR29</f>
        <v>N/D</v>
      </c>
      <c r="BO12" s="146" t="str">
        <f ca="1">RESULTADOS!AS29</f>
        <v>N/D</v>
      </c>
      <c r="BP12" s="146" t="str">
        <f ca="1">RESULTADOS!AT29</f>
        <v>N/T</v>
      </c>
      <c r="BQ12" s="146" t="str">
        <f ca="1">RESULTADOS!AU29</f>
        <v>N/T</v>
      </c>
      <c r="BR12" s="146" t="str">
        <f ca="1">RESULTADOS!AV29</f>
        <v>Falla</v>
      </c>
      <c r="BS12" s="146" t="str">
        <f ca="1">RESULTADOS!AW29</f>
        <v>N/T</v>
      </c>
      <c r="BT12" s="146" t="str">
        <f ca="1">RESULTADOS!AX29</f>
        <v>N/T</v>
      </c>
      <c r="BU12" s="146" t="str">
        <f ca="1">RESULTADOS!AY29</f>
        <v>N/D</v>
      </c>
      <c r="BV12" s="146" t="str">
        <f ca="1">RESULTADOS!AZ29</f>
        <v>N/T</v>
      </c>
      <c r="BW12" s="146" t="str">
        <f ca="1">RESULTADOS!BA29</f>
        <v>N/D</v>
      </c>
      <c r="BX12" s="146" t="str">
        <f ca="1">RESULTADOS!BB29</f>
        <v>N/T</v>
      </c>
      <c r="BY12" s="146" t="str">
        <f ca="1">RESULTADOS!BC29</f>
        <v>N/D</v>
      </c>
      <c r="BZ12" s="146" t="str">
        <f ca="1">RESULTADOS!BD29</f>
        <v>N/T</v>
      </c>
      <c r="CA12" s="146" t="str">
        <f ca="1">RESULTADOS!BE29</f>
        <v>N/T</v>
      </c>
      <c r="CB12" s="146" t="str">
        <f ca="1">RESULTADOS!BF29</f>
        <v>N/D</v>
      </c>
      <c r="CC12" s="146" t="str">
        <f ca="1">RESULTADOS!BG29</f>
        <v>N/D</v>
      </c>
      <c r="CD12" s="146" t="str">
        <f ca="1">RESULTADOS!BH29</f>
        <v>N/T</v>
      </c>
      <c r="CE12" s="146" t="str">
        <f ca="1">RESULTADOS!BI29</f>
        <v>N/D</v>
      </c>
      <c r="CF12" s="146" t="str">
        <f ca="1">RESULTADOS!BJ29</f>
        <v>N/D</v>
      </c>
      <c r="CG12" s="146" t="str">
        <f ca="1">RESULTADOS!BK29</f>
        <v>N/D</v>
      </c>
      <c r="CH12" s="146" t="str">
        <f ca="1">RESULTADOS!BL29</f>
        <v>N/D</v>
      </c>
      <c r="CI12" s="146" t="str">
        <f ca="1">RESULTADOS!BM29</f>
        <v>N/D</v>
      </c>
      <c r="CJ12" s="146" t="str">
        <f ca="1">RESULTADOS!BN29</f>
        <v>N/T</v>
      </c>
      <c r="CK12" s="146" t="str">
        <f ca="1">RESULTADOS!BO29</f>
        <v>N/D</v>
      </c>
      <c r="CL12" s="146" t="str">
        <f ca="1">RESULTADOS!BP29</f>
        <v>N/T</v>
      </c>
      <c r="CM12" s="146" t="str">
        <f ca="1">RESULTADOS!BQ29</f>
        <v>N/T</v>
      </c>
      <c r="CN12" s="146" t="str">
        <f ca="1">RESULTADOS!BR29</f>
        <v>N/D</v>
      </c>
      <c r="CO12" s="146" t="str">
        <f ca="1">RESULTADOS!BS29</f>
        <v>N/T</v>
      </c>
      <c r="CP12" s="146" t="str">
        <f ca="1">RESULTADOS!BT29</f>
        <v>N/D</v>
      </c>
      <c r="CQ12" s="146" t="str">
        <f ca="1">RESULTADOS!BU29</f>
        <v>Falla</v>
      </c>
      <c r="CR12" s="146" t="str">
        <f ca="1">RESULTADOS!BV29</f>
        <v>N/D</v>
      </c>
      <c r="CS12" s="146" t="str">
        <f ca="1">RESULTADOS!BW29</f>
        <v>N/D</v>
      </c>
      <c r="CT12" s="146" t="str">
        <f ca="1">RESULTADOS!BX29</f>
        <v>N/D</v>
      </c>
      <c r="CU12" s="146" t="str">
        <f ca="1">RESULTADOS!BY29</f>
        <v>N/T</v>
      </c>
      <c r="CV12" s="146" t="str">
        <f ca="1">RESULTADOS!BZ29</f>
        <v>N/T</v>
      </c>
      <c r="CW12" s="146" t="str">
        <f ca="1">RESULTADOS!CA29</f>
        <v>N/D</v>
      </c>
      <c r="CX12" s="146" t="str">
        <f ca="1">RESULTADOS!CB29</f>
        <v>N/T</v>
      </c>
      <c r="CY12" s="146" t="str">
        <f ca="1">RESULTADOS!CC29</f>
        <v>N/T</v>
      </c>
      <c r="CZ12" s="146" t="str">
        <f ca="1">RESULTADOS!CD29</f>
        <v>N/T</v>
      </c>
      <c r="DA12" s="146" t="str">
        <f ca="1">RESULTADOS!CE29</f>
        <v>N/D</v>
      </c>
      <c r="DB12" s="146" t="str">
        <f ca="1">RESULTADOS!CF29</f>
        <v>N/T</v>
      </c>
      <c r="DC12" s="146" t="str">
        <f ca="1">RESULTADOS!CG29</f>
        <v>N/T</v>
      </c>
      <c r="DD12" s="146" t="str">
        <f ca="1">RESULTADOS!CH29</f>
        <v>N/T</v>
      </c>
      <c r="DE12" s="146" t="str">
        <f ca="1">RESULTADOS!CI29</f>
        <v>N/T</v>
      </c>
      <c r="DF12" s="146" t="str">
        <f ca="1">RESULTADOS!CJ29</f>
        <v>N/T</v>
      </c>
      <c r="DG12" s="146" t="str">
        <f ca="1">RESULTADOS!CK29</f>
        <v>N/T</v>
      </c>
      <c r="DH12" s="146" t="str">
        <f ca="1">RESULTADOS!CL29</f>
        <v>N/T</v>
      </c>
      <c r="DI12" s="146" t="str">
        <f ca="1">RESULTADOS!CM29</f>
        <v>N/T</v>
      </c>
      <c r="DJ12" s="146" t="str">
        <f ca="1">RESULTADOS!CN29</f>
        <v>N/T</v>
      </c>
      <c r="DK12" s="146" t="str">
        <f ca="1">RESULTADOS!CO29</f>
        <v>N/T</v>
      </c>
      <c r="DL12" s="146" t="str">
        <f ca="1">RESULTADOS!CP29</f>
        <v>N/T</v>
      </c>
      <c r="DM12" s="146" t="str">
        <f ca="1">RESULTADOS!CQ29</f>
        <v>N/T</v>
      </c>
      <c r="DN12" s="146" t="str">
        <f ca="1">RESULTADOS!CR29</f>
        <v>N/T</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286</v>
      </c>
      <c r="D13" s="147" t="n">
        <f>'01.Definición de ámbito'!C33</f>
        <v>0.0</v>
      </c>
      <c r="E13" s="144" t="s">
        <v>298</v>
      </c>
      <c r="F13" s="147" t="str">
        <f>'02.Tecnologías'!I10</f>
        <v>No</v>
      </c>
      <c r="G13" s="147" t="n">
        <f>'02.Tecnologías'!K23</f>
        <v>0.0</v>
      </c>
      <c r="H13" s="147" t="n">
        <f>'02.Tecnologías'!L23</f>
        <v>0.0</v>
      </c>
      <c r="I13" s="206"/>
      <c r="J13" s="206"/>
      <c r="K13" s="40" t="s">
        <v>150</v>
      </c>
      <c r="L13" s="208" t="str">
        <f ca="1">RESULTADOS!E8</f>
        <v>0 (0 %)</v>
      </c>
      <c r="M13" s="208" t="str">
        <f ca="1">RESULTADOS!F8</f>
        <v>0 (0 %)</v>
      </c>
      <c r="N13" s="208" t="str">
        <f ca="1">RESULTADOS!G8</f>
        <v>0 (0 %)</v>
      </c>
      <c r="O13" s="148" t="n">
        <f ca="1">RESULTADOS!H8</f>
        <v>0.0</v>
      </c>
      <c r="P13" s="148" t="n">
        <f ca="1">RESULTADOS!I8</f>
        <v>92.0</v>
      </c>
      <c r="T13" s="148" t="n">
        <f>RESULTADOS!B30</f>
        <v>1.0</v>
      </c>
      <c r="U13" s="148" t="str">
        <f>RESULTADOS!C30</f>
        <v>Home - PortCastelló</v>
      </c>
      <c r="V13" s="148" t="str">
        <f t="shared" si="0"/>
        <v>Página web</v>
      </c>
      <c r="W13" s="148" t="str">
        <v/>
      </c>
      <c r="X13" s="148" t="str">
        <f>RESULTADOS!D30</f>
        <v>https://www.portcastello.com/</v>
      </c>
      <c r="Y13" s="148" t="n">
        <v>0.0</v>
      </c>
      <c r="Z13" s="237" t="str">
        <v>Ej. Imágenes, tablas, listas, multimedia, formularios, plantilla X, plantilla Y</v>
      </c>
      <c r="AA13" s="146" t="str">
        <f ca="1">RESULTADOS!E30</f>
        <v>N/T</v>
      </c>
      <c r="AB13" s="146" t="str">
        <f ca="1">RESULTADOS!F30</f>
        <v>N/T</v>
      </c>
      <c r="AC13" s="146" t="str">
        <f ca="1">RESULTADOS!G30</f>
        <v>N/T</v>
      </c>
      <c r="AD13" s="146" t="str">
        <f ca="1">RESULTADOS!H30</f>
        <v>N/T</v>
      </c>
      <c r="AE13" s="146" t="str">
        <f ca="1">RESULTADOS!I30</f>
        <v>N/T</v>
      </c>
      <c r="AF13" s="146" t="str">
        <f ca="1">RESULTADOS!J30</f>
        <v>N/T</v>
      </c>
      <c r="AG13" s="146" t="str">
        <f ca="1">RESULTADOS!K30</f>
        <v>N/T</v>
      </c>
      <c r="AH13" s="146" t="str">
        <f ca="1">RESULTADOS!L30</f>
        <v>N/T</v>
      </c>
      <c r="AI13" s="146" t="str">
        <f ca="1">RESULTADOS!M30</f>
        <v>N/T</v>
      </c>
      <c r="AJ13" s="146" t="str">
        <f ca="1">RESULTADOS!N30</f>
        <v>N/T</v>
      </c>
      <c r="AK13" s="146" t="str">
        <f ca="1">RESULTADOS!O30</f>
        <v>N/T</v>
      </c>
      <c r="AL13" s="146" t="str">
        <f ca="1">RESULTADOS!P30</f>
        <v>N/T</v>
      </c>
      <c r="AM13" s="146" t="str">
        <f ca="1">RESULTADOS!Q30</f>
        <v>N/T</v>
      </c>
      <c r="AN13" s="146" t="str">
        <f ca="1">RESULTADOS!R30</f>
        <v>N/T</v>
      </c>
      <c r="AO13" s="146" t="str">
        <f ca="1">RESULTADOS!S30</f>
        <v>N/T</v>
      </c>
      <c r="AP13" s="146" t="str">
        <f ca="1">RESULTADOS!T30</f>
        <v>N/T</v>
      </c>
      <c r="AQ13" s="146" t="str">
        <f ca="1">RESULTADOS!U30</f>
        <v>N/T</v>
      </c>
      <c r="AR13" s="146" t="str">
        <f ca="1">RESULTADOS!V30</f>
        <v>N/T</v>
      </c>
      <c r="AS13" s="146" t="str">
        <f ca="1">RESULTADOS!W30</f>
        <v>N/T</v>
      </c>
      <c r="AT13" s="146" t="str">
        <f ca="1">RESULTADOS!X30</f>
        <v>N/T</v>
      </c>
      <c r="AU13" s="146" t="str">
        <f ca="1">RESULTADOS!Y30</f>
        <v>N/T</v>
      </c>
      <c r="AV13" s="146" t="str">
        <f ca="1">RESULTADOS!Z30</f>
        <v>N/T</v>
      </c>
      <c r="AW13" s="146" t="str">
        <f ca="1">RESULTADOS!AA30</f>
        <v>N/T</v>
      </c>
      <c r="AX13" s="146" t="str">
        <f ca="1">RESULTADOS!AB30</f>
        <v>N/T</v>
      </c>
      <c r="AY13" s="146" t="str">
        <f ca="1">RESULTADOS!AC30</f>
        <v>N/T</v>
      </c>
      <c r="AZ13" s="146" t="str">
        <f ca="1">RESULTADOS!AD30</f>
        <v>N/T</v>
      </c>
      <c r="BA13" s="146" t="str">
        <f ca="1">RESULTADOS!AE30</f>
        <v>N/T</v>
      </c>
      <c r="BB13" s="146" t="str">
        <f ca="1">RESULTADOS!AF30</f>
        <v>N/T</v>
      </c>
      <c r="BC13" s="146" t="str">
        <f ca="1">RESULTADOS!AG30</f>
        <v>N/T</v>
      </c>
      <c r="BD13" s="146" t="str">
        <f ca="1">RESULTADOS!AH30</f>
        <v>N/T</v>
      </c>
      <c r="BE13" s="146" t="str">
        <f ca="1">RESULTADOS!AI30</f>
        <v>N/T</v>
      </c>
      <c r="BF13" s="146" t="str">
        <f ca="1">RESULTADOS!AJ30</f>
        <v>N/D</v>
      </c>
      <c r="BG13" s="146" t="str">
        <f ca="1">RESULTADOS!AK30</f>
        <v>N/T</v>
      </c>
      <c r="BH13" s="146" t="str">
        <f ca="1">RESULTADOS!AL30</f>
        <v>N/T</v>
      </c>
      <c r="BI13" s="146" t="str">
        <f ca="1">RESULTADOS!AM30</f>
        <v>N/T</v>
      </c>
      <c r="BJ13" s="146" t="str">
        <f ca="1">RESULTADOS!AN30</f>
        <v>N/T</v>
      </c>
      <c r="BK13" s="146" t="str">
        <f ca="1">RESULTADOS!AO30</f>
        <v>N/D</v>
      </c>
      <c r="BL13" s="146" t="str">
        <f ca="1">RESULTADOS!AP30</f>
        <v>N/T</v>
      </c>
      <c r="BM13" s="146" t="str">
        <f ca="1">RESULTADOS!AQ30</f>
        <v>N/T</v>
      </c>
      <c r="BN13" s="146" t="str">
        <f ca="1">RESULTADOS!AR30</f>
        <v>N/D</v>
      </c>
      <c r="BO13" s="146" t="str">
        <f ca="1">RESULTADOS!AS30</f>
        <v>N/D</v>
      </c>
      <c r="BP13" s="146" t="str">
        <f ca="1">RESULTADOS!AT30</f>
        <v>N/T</v>
      </c>
      <c r="BQ13" s="146" t="str">
        <f ca="1">RESULTADOS!AU30</f>
        <v>N/T</v>
      </c>
      <c r="BR13" s="146" t="str">
        <f ca="1">RESULTADOS!AV30</f>
        <v>N/D</v>
      </c>
      <c r="BS13" s="146" t="str">
        <f ca="1">RESULTADOS!AW30</f>
        <v>N/T</v>
      </c>
      <c r="BT13" s="146" t="str">
        <f ca="1">RESULTADOS!AX30</f>
        <v>N/T</v>
      </c>
      <c r="BU13" s="146" t="str">
        <f ca="1">RESULTADOS!AY30</f>
        <v>N/D</v>
      </c>
      <c r="BV13" s="146" t="str">
        <f ca="1">RESULTADOS!AZ30</f>
        <v>N/T</v>
      </c>
      <c r="BW13" s="146" t="str">
        <f ca="1">RESULTADOS!BA30</f>
        <v>N/D</v>
      </c>
      <c r="BX13" s="146" t="str">
        <f ca="1">RESULTADOS!BB30</f>
        <v>N/T</v>
      </c>
      <c r="BY13" s="146" t="str">
        <f ca="1">RESULTADOS!BC30</f>
        <v>N/D</v>
      </c>
      <c r="BZ13" s="146" t="str">
        <f ca="1">RESULTADOS!BD30</f>
        <v>N/T</v>
      </c>
      <c r="CA13" s="146" t="str">
        <f ca="1">RESULTADOS!BE30</f>
        <v>N/T</v>
      </c>
      <c r="CB13" s="146" t="str">
        <f ca="1">RESULTADOS!BF30</f>
        <v>N/D</v>
      </c>
      <c r="CC13" s="146" t="str">
        <f ca="1">RESULTADOS!BG30</f>
        <v>N/D</v>
      </c>
      <c r="CD13" s="146" t="str">
        <f ca="1">RESULTADOS!BH30</f>
        <v>N/T</v>
      </c>
      <c r="CE13" s="146" t="str">
        <f ca="1">RESULTADOS!BI30</f>
        <v>N/D</v>
      </c>
      <c r="CF13" s="146" t="str">
        <f ca="1">RESULTADOS!BJ30</f>
        <v>N/D</v>
      </c>
      <c r="CG13" s="146" t="str">
        <f ca="1">RESULTADOS!BK30</f>
        <v>N/D</v>
      </c>
      <c r="CH13" s="146" t="str">
        <f ca="1">RESULTADOS!BL30</f>
        <v>N/D</v>
      </c>
      <c r="CI13" s="146" t="str">
        <f ca="1">RESULTADOS!BM30</f>
        <v>N/D</v>
      </c>
      <c r="CJ13" s="146" t="str">
        <f ca="1">RESULTADOS!BN30</f>
        <v>N/T</v>
      </c>
      <c r="CK13" s="146" t="str">
        <f ca="1">RESULTADOS!BO30</f>
        <v>N/D</v>
      </c>
      <c r="CL13" s="146" t="str">
        <f ca="1">RESULTADOS!BP30</f>
        <v>N/T</v>
      </c>
      <c r="CM13" s="146" t="str">
        <f ca="1">RESULTADOS!BQ30</f>
        <v>N/T</v>
      </c>
      <c r="CN13" s="146" t="str">
        <f ca="1">RESULTADOS!BR30</f>
        <v>N/D</v>
      </c>
      <c r="CO13" s="146" t="str">
        <f ca="1">RESULTADOS!BS30</f>
        <v>N/T</v>
      </c>
      <c r="CP13" s="146" t="str">
        <f ca="1">RESULTADOS!BT30</f>
        <v>N/D</v>
      </c>
      <c r="CQ13" s="146" t="str">
        <f ca="1">RESULTADOS!BU30</f>
        <v>N/D</v>
      </c>
      <c r="CR13" s="146" t="str">
        <f ca="1">RESULTADOS!BV30</f>
        <v>N/D</v>
      </c>
      <c r="CS13" s="146" t="str">
        <f ca="1">RESULTADOS!BW30</f>
        <v>N/D</v>
      </c>
      <c r="CT13" s="146" t="str">
        <f ca="1">RESULTADOS!BX30</f>
        <v>N/D</v>
      </c>
      <c r="CU13" s="146" t="str">
        <f ca="1">RESULTADOS!BY30</f>
        <v>N/T</v>
      </c>
      <c r="CV13" s="146" t="str">
        <f ca="1">RESULTADOS!BZ30</f>
        <v>N/T</v>
      </c>
      <c r="CW13" s="146" t="str">
        <f ca="1">RESULTADOS!CA30</f>
        <v>N/D</v>
      </c>
      <c r="CX13" s="146" t="str">
        <f ca="1">RESULTADOS!CB30</f>
        <v>N/T</v>
      </c>
      <c r="CY13" s="146" t="str">
        <f ca="1">RESULTADOS!CC30</f>
        <v>N/T</v>
      </c>
      <c r="CZ13" s="146" t="str">
        <f ca="1">RESULTADOS!CD30</f>
        <v>N/T</v>
      </c>
      <c r="DA13" s="146" t="str">
        <f ca="1">RESULTADOS!CE30</f>
        <v>N/D</v>
      </c>
      <c r="DB13" s="146" t="str">
        <f ca="1">RESULTADOS!CF30</f>
        <v>N/T</v>
      </c>
      <c r="DC13" s="146" t="str">
        <f ca="1">RESULTADOS!CG30</f>
        <v>N/T</v>
      </c>
      <c r="DD13" s="146" t="str">
        <f ca="1">RESULTADOS!CH30</f>
        <v>N/T</v>
      </c>
      <c r="DE13" s="146" t="str">
        <f ca="1">RESULTADOS!CI30</f>
        <v>N/T</v>
      </c>
      <c r="DF13" s="146" t="str">
        <f ca="1">RESULTADOS!CJ30</f>
        <v>N/T</v>
      </c>
      <c r="DG13" s="146" t="str">
        <f ca="1">RESULTADOS!CK30</f>
        <v>N/T</v>
      </c>
      <c r="DH13" s="146" t="str">
        <f ca="1">RESULTADOS!CL30</f>
        <v>N/T</v>
      </c>
      <c r="DI13" s="146" t="str">
        <f ca="1">RESULTADOS!CM30</f>
        <v>N/T</v>
      </c>
      <c r="DJ13" s="146" t="str">
        <f ca="1">RESULTADOS!CN30</f>
        <v>N/T</v>
      </c>
      <c r="DK13" s="146" t="str">
        <f ca="1">RESULTADOS!CO30</f>
        <v>N/T</v>
      </c>
      <c r="DL13" s="146" t="str">
        <f ca="1">RESULTADOS!CP30</f>
        <v>N/T</v>
      </c>
      <c r="DM13" s="146" t="str">
        <f ca="1">RESULTADOS!CQ30</f>
        <v>N/T</v>
      </c>
      <c r="DN13" s="146" t="str">
        <f ca="1">RESULTADOS!CR30</f>
        <v>N/T</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140</v>
      </c>
      <c r="D14" s="147" t="str">
        <f>'01.Definición de ámbito'!C35</f>
        <v>21/03/2026</v>
      </c>
      <c r="E14" s="144" t="s">
        <v>301</v>
      </c>
      <c r="F14" s="147" t="str">
        <f>'02.Tecnologías'!I11</f>
        <v>No</v>
      </c>
      <c r="G14" s="205"/>
      <c r="H14" s="205"/>
      <c r="I14" s="205"/>
      <c r="J14" s="205"/>
      <c r="K14" s="40" t="s">
        <v>269</v>
      </c>
      <c r="L14" s="208" t="str">
        <f ca="1">RESULTADOS!E9</f>
        <v>0 (0 %)</v>
      </c>
      <c r="M14" s="208" t="str">
        <f ca="1">RESULTADOS!F9</f>
        <v>1 (2.22 %)</v>
      </c>
      <c r="N14" s="208" t="str">
        <f ca="1">RESULTADOS!G9</f>
        <v>0 (0 %)</v>
      </c>
      <c r="O14" s="148" t="n">
        <f ca="1">RESULTADOS!H9</f>
        <v>0.0</v>
      </c>
      <c r="P14" s="148" t="n">
        <f ca="1">RESULTADOS!I9</f>
        <v>44.0</v>
      </c>
      <c r="T14" s="148" t="n">
        <f>RESULTADOS!B31</f>
        <v>1.0</v>
      </c>
      <c r="U14" s="148" t="str">
        <f>RESULTADOS!C31</f>
        <v>Home - PortCastelló</v>
      </c>
      <c r="V14" s="148" t="str">
        <f t="shared" si="0"/>
        <v>Página web</v>
      </c>
      <c r="W14" s="148" t="str">
        <v/>
      </c>
      <c r="X14" s="148" t="str">
        <f>RESULTADOS!D31</f>
        <v>https://www.portcastello.com/</v>
      </c>
      <c r="Y14" s="148" t="n">
        <v>0.0</v>
      </c>
      <c r="Z14" s="237" t="str">
        <v>Ej. Imágenes, tablas, listas, multimedia, formularios, plantilla X, plantilla Y</v>
      </c>
      <c r="AA14" s="146" t="str">
        <f ca="1">RESULTADOS!E31</f>
        <v>N/T</v>
      </c>
      <c r="AB14" s="146" t="str">
        <f ca="1">RESULTADOS!F31</f>
        <v>N/T</v>
      </c>
      <c r="AC14" s="146" t="str">
        <f ca="1">RESULTADOS!G31</f>
        <v>N/T</v>
      </c>
      <c r="AD14" s="146" t="str">
        <f ca="1">RESULTADOS!H31</f>
        <v>N/T</v>
      </c>
      <c r="AE14" s="146" t="str">
        <f ca="1">RESULTADOS!I31</f>
        <v>N/T</v>
      </c>
      <c r="AF14" s="146" t="str">
        <f ca="1">RESULTADOS!J31</f>
        <v>N/T</v>
      </c>
      <c r="AG14" s="146" t="str">
        <f ca="1">RESULTADOS!K31</f>
        <v>N/T</v>
      </c>
      <c r="AH14" s="146" t="str">
        <f ca="1">RESULTADOS!L31</f>
        <v>N/T</v>
      </c>
      <c r="AI14" s="146" t="str">
        <f ca="1">RESULTADOS!M31</f>
        <v>N/T</v>
      </c>
      <c r="AJ14" s="146" t="str">
        <f ca="1">RESULTADOS!N31</f>
        <v>N/T</v>
      </c>
      <c r="AK14" s="146" t="str">
        <f ca="1">RESULTADOS!O31</f>
        <v>N/T</v>
      </c>
      <c r="AL14" s="146" t="str">
        <f ca="1">RESULTADOS!P31</f>
        <v>N/T</v>
      </c>
      <c r="AM14" s="146" t="str">
        <f ca="1">RESULTADOS!Q31</f>
        <v>N/T</v>
      </c>
      <c r="AN14" s="146" t="str">
        <f ca="1">RESULTADOS!R31</f>
        <v>N/T</v>
      </c>
      <c r="AO14" s="146" t="str">
        <f ca="1">RESULTADOS!S31</f>
        <v>N/T</v>
      </c>
      <c r="AP14" s="146" t="str">
        <f ca="1">RESULTADOS!T31</f>
        <v>N/T</v>
      </c>
      <c r="AQ14" s="146" t="str">
        <f ca="1">RESULTADOS!U31</f>
        <v>N/T</v>
      </c>
      <c r="AR14" s="146" t="str">
        <f ca="1">RESULTADOS!V31</f>
        <v>N/T</v>
      </c>
      <c r="AS14" s="146" t="str">
        <f ca="1">RESULTADOS!W31</f>
        <v>N/T</v>
      </c>
      <c r="AT14" s="146" t="str">
        <f ca="1">RESULTADOS!X31</f>
        <v>N/T</v>
      </c>
      <c r="AU14" s="146" t="str">
        <f ca="1">RESULTADOS!Y31</f>
        <v>N/T</v>
      </c>
      <c r="AV14" s="146" t="str">
        <f ca="1">RESULTADOS!Z31</f>
        <v>N/T</v>
      </c>
      <c r="AW14" s="146" t="str">
        <f ca="1">RESULTADOS!AA31</f>
        <v>N/T</v>
      </c>
      <c r="AX14" s="146" t="str">
        <f ca="1">RESULTADOS!AB31</f>
        <v>N/T</v>
      </c>
      <c r="AY14" s="146" t="str">
        <f ca="1">RESULTADOS!AC31</f>
        <v>N/T</v>
      </c>
      <c r="AZ14" s="146" t="str">
        <f ca="1">RESULTADOS!AD31</f>
        <v>N/T</v>
      </c>
      <c r="BA14" s="146" t="str">
        <f ca="1">RESULTADOS!AE31</f>
        <v>N/T</v>
      </c>
      <c r="BB14" s="146" t="str">
        <f ca="1">RESULTADOS!AF31</f>
        <v>N/T</v>
      </c>
      <c r="BC14" s="146" t="str">
        <f ca="1">RESULTADOS!AG31</f>
        <v>N/T</v>
      </c>
      <c r="BD14" s="146" t="str">
        <f ca="1">RESULTADOS!AH31</f>
        <v>N/T</v>
      </c>
      <c r="BE14" s="146" t="str">
        <f ca="1">RESULTADOS!AI31</f>
        <v>N/T</v>
      </c>
      <c r="BF14" s="146" t="str">
        <f ca="1">RESULTADOS!AJ31</f>
        <v>N/D</v>
      </c>
      <c r="BG14" s="146" t="str">
        <f ca="1">RESULTADOS!AK31</f>
        <v>N/T</v>
      </c>
      <c r="BH14" s="146" t="str">
        <f ca="1">RESULTADOS!AL31</f>
        <v>N/T</v>
      </c>
      <c r="BI14" s="146" t="str">
        <f ca="1">RESULTADOS!AM31</f>
        <v>N/T</v>
      </c>
      <c r="BJ14" s="146" t="str">
        <f ca="1">RESULTADOS!AN31</f>
        <v>N/T</v>
      </c>
      <c r="BK14" s="146" t="str">
        <f ca="1">RESULTADOS!AO31</f>
        <v>N/D</v>
      </c>
      <c r="BL14" s="146" t="str">
        <f ca="1">RESULTADOS!AP31</f>
        <v>N/T</v>
      </c>
      <c r="BM14" s="146" t="str">
        <f ca="1">RESULTADOS!AQ31</f>
        <v>N/T</v>
      </c>
      <c r="BN14" s="146" t="str">
        <f ca="1">RESULTADOS!AR31</f>
        <v>N/D</v>
      </c>
      <c r="BO14" s="146" t="str">
        <f ca="1">RESULTADOS!AS31</f>
        <v>N/D</v>
      </c>
      <c r="BP14" s="146" t="str">
        <f ca="1">RESULTADOS!AT31</f>
        <v>N/T</v>
      </c>
      <c r="BQ14" s="146" t="str">
        <f ca="1">RESULTADOS!AU31</f>
        <v>N/T</v>
      </c>
      <c r="BR14" s="146" t="str">
        <f ca="1">RESULTADOS!AV31</f>
        <v>N/D</v>
      </c>
      <c r="BS14" s="146" t="str">
        <f ca="1">RESULTADOS!AW31</f>
        <v>N/T</v>
      </c>
      <c r="BT14" s="146" t="str">
        <f ca="1">RESULTADOS!AX31</f>
        <v>N/T</v>
      </c>
      <c r="BU14" s="146" t="str">
        <f ca="1">RESULTADOS!AY31</f>
        <v>N/D</v>
      </c>
      <c r="BV14" s="146" t="str">
        <f ca="1">RESULTADOS!AZ31</f>
        <v>N/T</v>
      </c>
      <c r="BW14" s="146" t="str">
        <f ca="1">RESULTADOS!BA31</f>
        <v>N/D</v>
      </c>
      <c r="BX14" s="146" t="str">
        <f ca="1">RESULTADOS!BB31</f>
        <v>N/T</v>
      </c>
      <c r="BY14" s="146" t="str">
        <f ca="1">RESULTADOS!BC31</f>
        <v>N/D</v>
      </c>
      <c r="BZ14" s="146" t="str">
        <f ca="1">RESULTADOS!BD31</f>
        <v>N/T</v>
      </c>
      <c r="CA14" s="146" t="str">
        <f ca="1">RESULTADOS!BE31</f>
        <v>N/T</v>
      </c>
      <c r="CB14" s="146" t="str">
        <f ca="1">RESULTADOS!BF31</f>
        <v>N/D</v>
      </c>
      <c r="CC14" s="146" t="str">
        <f ca="1">RESULTADOS!BG31</f>
        <v>N/D</v>
      </c>
      <c r="CD14" s="146" t="str">
        <f ca="1">RESULTADOS!BH31</f>
        <v>N/T</v>
      </c>
      <c r="CE14" s="146" t="str">
        <f ca="1">RESULTADOS!BI31</f>
        <v>N/D</v>
      </c>
      <c r="CF14" s="146" t="str">
        <f ca="1">RESULTADOS!BJ31</f>
        <v>N/D</v>
      </c>
      <c r="CG14" s="146" t="str">
        <f ca="1">RESULTADOS!BK31</f>
        <v>N/D</v>
      </c>
      <c r="CH14" s="146" t="str">
        <f ca="1">RESULTADOS!BL31</f>
        <v>N/D</v>
      </c>
      <c r="CI14" s="146" t="str">
        <f ca="1">RESULTADOS!BM31</f>
        <v>N/D</v>
      </c>
      <c r="CJ14" s="146" t="str">
        <f ca="1">RESULTADOS!BN31</f>
        <v>N/T</v>
      </c>
      <c r="CK14" s="146" t="str">
        <f ca="1">RESULTADOS!BO31</f>
        <v>N/D</v>
      </c>
      <c r="CL14" s="146" t="str">
        <f ca="1">RESULTADOS!BP31</f>
        <v>N/T</v>
      </c>
      <c r="CM14" s="146" t="str">
        <f ca="1">RESULTADOS!BQ31</f>
        <v>N/T</v>
      </c>
      <c r="CN14" s="146" t="str">
        <f ca="1">RESULTADOS!BR31</f>
        <v>N/D</v>
      </c>
      <c r="CO14" s="146" t="str">
        <f ca="1">RESULTADOS!BS31</f>
        <v>N/T</v>
      </c>
      <c r="CP14" s="146" t="str">
        <f ca="1">RESULTADOS!BT31</f>
        <v>N/D</v>
      </c>
      <c r="CQ14" s="146" t="str">
        <f ca="1">RESULTADOS!BU31</f>
        <v>N/D</v>
      </c>
      <c r="CR14" s="146" t="str">
        <f ca="1">RESULTADOS!BV31</f>
        <v>N/D</v>
      </c>
      <c r="CS14" s="146" t="str">
        <f ca="1">RESULTADOS!BW31</f>
        <v>N/D</v>
      </c>
      <c r="CT14" s="146" t="str">
        <f ca="1">RESULTADOS!BX31</f>
        <v>N/D</v>
      </c>
      <c r="CU14" s="146" t="str">
        <f ca="1">RESULTADOS!BY31</f>
        <v>N/T</v>
      </c>
      <c r="CV14" s="146" t="str">
        <f ca="1">RESULTADOS!BZ31</f>
        <v>N/T</v>
      </c>
      <c r="CW14" s="146" t="str">
        <f ca="1">RESULTADOS!CA31</f>
        <v>N/D</v>
      </c>
      <c r="CX14" s="146" t="str">
        <f ca="1">RESULTADOS!CB31</f>
        <v>N/T</v>
      </c>
      <c r="CY14" s="146" t="str">
        <f ca="1">RESULTADOS!CC31</f>
        <v>N/T</v>
      </c>
      <c r="CZ14" s="146" t="str">
        <f ca="1">RESULTADOS!CD31</f>
        <v>N/T</v>
      </c>
      <c r="DA14" s="146" t="str">
        <f ca="1">RESULTADOS!CE31</f>
        <v>N/D</v>
      </c>
      <c r="DB14" s="146" t="str">
        <f ca="1">RESULTADOS!CF31</f>
        <v>N/T</v>
      </c>
      <c r="DC14" s="146" t="str">
        <f ca="1">RESULTADOS!CG31</f>
        <v>N/T</v>
      </c>
      <c r="DD14" s="146" t="str">
        <f ca="1">RESULTADOS!CH31</f>
        <v>N/T</v>
      </c>
      <c r="DE14" s="146" t="str">
        <f ca="1">RESULTADOS!CI31</f>
        <v>N/T</v>
      </c>
      <c r="DF14" s="146" t="str">
        <f ca="1">RESULTADOS!CJ31</f>
        <v>N/T</v>
      </c>
      <c r="DG14" s="146" t="str">
        <f ca="1">RESULTADOS!CK31</f>
        <v>N/T</v>
      </c>
      <c r="DH14" s="146" t="str">
        <f ca="1">RESULTADOS!CL31</f>
        <v>N/T</v>
      </c>
      <c r="DI14" s="146" t="str">
        <f ca="1">RESULTADOS!CM31</f>
        <v>N/T</v>
      </c>
      <c r="DJ14" s="146" t="str">
        <f ca="1">RESULTADOS!CN31</f>
        <v>N/T</v>
      </c>
      <c r="DK14" s="146" t="str">
        <f ca="1">RESULTADOS!CO31</f>
        <v>N/T</v>
      </c>
      <c r="DL14" s="146" t="str">
        <f ca="1">RESULTADOS!CP31</f>
        <v>N/T</v>
      </c>
      <c r="DM14" s="146" t="str">
        <f ca="1">RESULTADOS!CQ31</f>
        <v>N/T</v>
      </c>
      <c r="DN14" s="146" t="str">
        <f ca="1">RESULTADOS!CR31</f>
        <v>N/T</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142</v>
      </c>
      <c r="D15" s="147" t="str">
        <f>'01.Definición de ámbito'!C39</f>
        <v>UNE-EN 301 549:2022 - excluyendo el contenido excluido por el RD 1112/2018</v>
      </c>
      <c r="E15" s="144" t="s">
        <v>304</v>
      </c>
      <c r="F15" s="147" t="str">
        <f>'02.Tecnologías'!I12</f>
        <v>No</v>
      </c>
      <c r="G15" s="205"/>
      <c r="H15" s="205"/>
      <c r="I15" s="205"/>
      <c r="J15" s="205"/>
      <c r="T15" s="148" t="n">
        <f>RESULTADOS!B32</f>
        <v>1.0</v>
      </c>
      <c r="U15" s="148" t="str">
        <f>RESULTADOS!C32</f>
        <v>Home - PortCastelló</v>
      </c>
      <c r="V15" s="148" t="str">
        <f t="shared" si="0"/>
        <v>Página web</v>
      </c>
      <c r="W15" s="148" t="str">
        <v/>
      </c>
      <c r="X15" s="148" t="str">
        <f>RESULTADOS!D32</f>
        <v>https://www.portcastello.com/</v>
      </c>
      <c r="Y15" s="148" t="n">
        <v>0.0</v>
      </c>
      <c r="Z15" s="237" t="str">
        <v>Ej. Imágenes, tablas, listas, multimedia, formularios, plantilla X, plantilla Y</v>
      </c>
      <c r="AA15" s="146" t="str">
        <f ca="1">RESULTADOS!E32</f>
        <v>N/T</v>
      </c>
      <c r="AB15" s="146" t="str">
        <f ca="1">RESULTADOS!F32</f>
        <v>N/T</v>
      </c>
      <c r="AC15" s="146" t="str">
        <f ca="1">RESULTADOS!G32</f>
        <v>N/T</v>
      </c>
      <c r="AD15" s="146" t="str">
        <f ca="1">RESULTADOS!H32</f>
        <v>N/T</v>
      </c>
      <c r="AE15" s="146" t="str">
        <f ca="1">RESULTADOS!I32</f>
        <v>N/T</v>
      </c>
      <c r="AF15" s="146" t="str">
        <f ca="1">RESULTADOS!J32</f>
        <v>N/T</v>
      </c>
      <c r="AG15" s="146" t="str">
        <f ca="1">RESULTADOS!K32</f>
        <v>N/T</v>
      </c>
      <c r="AH15" s="146" t="str">
        <f ca="1">RESULTADOS!L32</f>
        <v>N/T</v>
      </c>
      <c r="AI15" s="146" t="str">
        <f ca="1">RESULTADOS!M32</f>
        <v>N/T</v>
      </c>
      <c r="AJ15" s="146" t="str">
        <f ca="1">RESULTADOS!N32</f>
        <v>N/T</v>
      </c>
      <c r="AK15" s="146" t="str">
        <f ca="1">RESULTADOS!O32</f>
        <v>N/T</v>
      </c>
      <c r="AL15" s="146" t="str">
        <f ca="1">RESULTADOS!P32</f>
        <v>N/T</v>
      </c>
      <c r="AM15" s="146" t="str">
        <f ca="1">RESULTADOS!Q32</f>
        <v>N/T</v>
      </c>
      <c r="AN15" s="146" t="str">
        <f ca="1">RESULTADOS!R32</f>
        <v>N/T</v>
      </c>
      <c r="AO15" s="146" t="str">
        <f ca="1">RESULTADOS!S32</f>
        <v>N/T</v>
      </c>
      <c r="AP15" s="146" t="str">
        <f ca="1">RESULTADOS!T32</f>
        <v>N/T</v>
      </c>
      <c r="AQ15" s="146" t="str">
        <f ca="1">RESULTADOS!U32</f>
        <v>N/T</v>
      </c>
      <c r="AR15" s="146" t="str">
        <f ca="1">RESULTADOS!V32</f>
        <v>N/T</v>
      </c>
      <c r="AS15" s="146" t="str">
        <f ca="1">RESULTADOS!W32</f>
        <v>N/T</v>
      </c>
      <c r="AT15" s="146" t="str">
        <f ca="1">RESULTADOS!X32</f>
        <v>N/T</v>
      </c>
      <c r="AU15" s="146" t="str">
        <f ca="1">RESULTADOS!Y32</f>
        <v>N/T</v>
      </c>
      <c r="AV15" s="146" t="str">
        <f ca="1">RESULTADOS!Z32</f>
        <v>N/T</v>
      </c>
      <c r="AW15" s="146" t="str">
        <f ca="1">RESULTADOS!AA32</f>
        <v>N/T</v>
      </c>
      <c r="AX15" s="146" t="str">
        <f ca="1">RESULTADOS!AB32</f>
        <v>N/T</v>
      </c>
      <c r="AY15" s="146" t="str">
        <f ca="1">RESULTADOS!AC32</f>
        <v>N/T</v>
      </c>
      <c r="AZ15" s="146" t="str">
        <f ca="1">RESULTADOS!AD32</f>
        <v>N/T</v>
      </c>
      <c r="BA15" s="146" t="str">
        <f ca="1">RESULTADOS!AE32</f>
        <v>N/T</v>
      </c>
      <c r="BB15" s="146" t="str">
        <f ca="1">RESULTADOS!AF32</f>
        <v>N/T</v>
      </c>
      <c r="BC15" s="146" t="str">
        <f ca="1">RESULTADOS!AG32</f>
        <v>N/T</v>
      </c>
      <c r="BD15" s="146" t="str">
        <f ca="1">RESULTADOS!AH32</f>
        <v>N/T</v>
      </c>
      <c r="BE15" s="146" t="str">
        <f ca="1">RESULTADOS!AI32</f>
        <v>N/T</v>
      </c>
      <c r="BF15" s="146" t="str">
        <f ca="1">RESULTADOS!AJ32</f>
        <v>N/D</v>
      </c>
      <c r="BG15" s="146" t="str">
        <f ca="1">RESULTADOS!AK32</f>
        <v>N/T</v>
      </c>
      <c r="BH15" s="146" t="str">
        <f ca="1">RESULTADOS!AL32</f>
        <v>N/T</v>
      </c>
      <c r="BI15" s="146" t="str">
        <f ca="1">RESULTADOS!AM32</f>
        <v>N/T</v>
      </c>
      <c r="BJ15" s="146" t="str">
        <f ca="1">RESULTADOS!AN32</f>
        <v>N/T</v>
      </c>
      <c r="BK15" s="146" t="str">
        <f ca="1">RESULTADOS!AO32</f>
        <v>N/D</v>
      </c>
      <c r="BL15" s="146" t="str">
        <f ca="1">RESULTADOS!AP32</f>
        <v>N/T</v>
      </c>
      <c r="BM15" s="146" t="str">
        <f ca="1">RESULTADOS!AQ32</f>
        <v>N/T</v>
      </c>
      <c r="BN15" s="146" t="str">
        <f ca="1">RESULTADOS!AR32</f>
        <v>N/D</v>
      </c>
      <c r="BO15" s="146" t="str">
        <f ca="1">RESULTADOS!AS32</f>
        <v>N/D</v>
      </c>
      <c r="BP15" s="146" t="str">
        <f ca="1">RESULTADOS!AT32</f>
        <v>N/T</v>
      </c>
      <c r="BQ15" s="146" t="str">
        <f ca="1">RESULTADOS!AU32</f>
        <v>N/T</v>
      </c>
      <c r="BR15" s="146" t="str">
        <f ca="1">RESULTADOS!AV32</f>
        <v>N/D</v>
      </c>
      <c r="BS15" s="146" t="str">
        <f ca="1">RESULTADOS!AW32</f>
        <v>N/T</v>
      </c>
      <c r="BT15" s="146" t="str">
        <f ca="1">RESULTADOS!AX32</f>
        <v>N/T</v>
      </c>
      <c r="BU15" s="146" t="str">
        <f ca="1">RESULTADOS!AY32</f>
        <v>N/D</v>
      </c>
      <c r="BV15" s="146" t="str">
        <f ca="1">RESULTADOS!AZ32</f>
        <v>N/T</v>
      </c>
      <c r="BW15" s="146" t="str">
        <f ca="1">RESULTADOS!BA32</f>
        <v>N/D</v>
      </c>
      <c r="BX15" s="146" t="str">
        <f ca="1">RESULTADOS!BB32</f>
        <v>N/T</v>
      </c>
      <c r="BY15" s="146" t="str">
        <f ca="1">RESULTADOS!BC32</f>
        <v>N/D</v>
      </c>
      <c r="BZ15" s="146" t="str">
        <f ca="1">RESULTADOS!BD32</f>
        <v>N/T</v>
      </c>
      <c r="CA15" s="146" t="str">
        <f ca="1">RESULTADOS!BE32</f>
        <v>N/T</v>
      </c>
      <c r="CB15" s="146" t="str">
        <f ca="1">RESULTADOS!BF32</f>
        <v>N/D</v>
      </c>
      <c r="CC15" s="146" t="str">
        <f ca="1">RESULTADOS!BG32</f>
        <v>N/D</v>
      </c>
      <c r="CD15" s="146" t="str">
        <f ca="1">RESULTADOS!BH32</f>
        <v>N/T</v>
      </c>
      <c r="CE15" s="146" t="str">
        <f ca="1">RESULTADOS!BI32</f>
        <v>N/D</v>
      </c>
      <c r="CF15" s="146" t="str">
        <f ca="1">RESULTADOS!BJ32</f>
        <v>N/D</v>
      </c>
      <c r="CG15" s="146" t="str">
        <f ca="1">RESULTADOS!BK32</f>
        <v>N/D</v>
      </c>
      <c r="CH15" s="146" t="str">
        <f ca="1">RESULTADOS!BL32</f>
        <v>N/D</v>
      </c>
      <c r="CI15" s="146" t="str">
        <f ca="1">RESULTADOS!BM32</f>
        <v>N/D</v>
      </c>
      <c r="CJ15" s="146" t="str">
        <f ca="1">RESULTADOS!BN32</f>
        <v>N/T</v>
      </c>
      <c r="CK15" s="146" t="str">
        <f ca="1">RESULTADOS!BO32</f>
        <v>N/D</v>
      </c>
      <c r="CL15" s="146" t="str">
        <f ca="1">RESULTADOS!BP32</f>
        <v>N/T</v>
      </c>
      <c r="CM15" s="146" t="str">
        <f ca="1">RESULTADOS!BQ32</f>
        <v>N/T</v>
      </c>
      <c r="CN15" s="146" t="str">
        <f ca="1">RESULTADOS!BR32</f>
        <v>N/D</v>
      </c>
      <c r="CO15" s="146" t="str">
        <f ca="1">RESULTADOS!BS32</f>
        <v>N/T</v>
      </c>
      <c r="CP15" s="146" t="str">
        <f ca="1">RESULTADOS!BT32</f>
        <v>N/D</v>
      </c>
      <c r="CQ15" s="146" t="str">
        <f ca="1">RESULTADOS!BU32</f>
        <v>N/D</v>
      </c>
      <c r="CR15" s="146" t="str">
        <f ca="1">RESULTADOS!BV32</f>
        <v>N/D</v>
      </c>
      <c r="CS15" s="146" t="str">
        <f ca="1">RESULTADOS!BW32</f>
        <v>N/D</v>
      </c>
      <c r="CT15" s="146" t="str">
        <f ca="1">RESULTADOS!BX32</f>
        <v>N/D</v>
      </c>
      <c r="CU15" s="146" t="str">
        <f ca="1">RESULTADOS!BY32</f>
        <v>N/T</v>
      </c>
      <c r="CV15" s="146" t="str">
        <f ca="1">RESULTADOS!BZ32</f>
        <v>N/T</v>
      </c>
      <c r="CW15" s="146" t="str">
        <f ca="1">RESULTADOS!CA32</f>
        <v>N/D</v>
      </c>
      <c r="CX15" s="146" t="str">
        <f ca="1">RESULTADOS!CB32</f>
        <v>N/T</v>
      </c>
      <c r="CY15" s="146" t="str">
        <f ca="1">RESULTADOS!CC32</f>
        <v>N/T</v>
      </c>
      <c r="CZ15" s="146" t="str">
        <f ca="1">RESULTADOS!CD32</f>
        <v>N/T</v>
      </c>
      <c r="DA15" s="146" t="str">
        <f ca="1">RESULTADOS!CE32</f>
        <v>N/D</v>
      </c>
      <c r="DB15" s="146" t="str">
        <f ca="1">RESULTADOS!CF32</f>
        <v>N/T</v>
      </c>
      <c r="DC15" s="146" t="str">
        <f ca="1">RESULTADOS!CG32</f>
        <v>N/T</v>
      </c>
      <c r="DD15" s="146" t="str">
        <f ca="1">RESULTADOS!CH32</f>
        <v>N/T</v>
      </c>
      <c r="DE15" s="146" t="str">
        <f ca="1">RESULTADOS!CI32</f>
        <v>N/T</v>
      </c>
      <c r="DF15" s="146" t="str">
        <f ca="1">RESULTADOS!CJ32</f>
        <v>N/T</v>
      </c>
      <c r="DG15" s="146" t="str">
        <f ca="1">RESULTADOS!CK32</f>
        <v>N/T</v>
      </c>
      <c r="DH15" s="146" t="str">
        <f ca="1">RESULTADOS!CL32</f>
        <v>N/T</v>
      </c>
      <c r="DI15" s="146" t="str">
        <f ca="1">RESULTADOS!CM32</f>
        <v>N/T</v>
      </c>
      <c r="DJ15" s="146" t="str">
        <f ca="1">RESULTADOS!CN32</f>
        <v>N/T</v>
      </c>
      <c r="DK15" s="146" t="str">
        <f ca="1">RESULTADOS!CO32</f>
        <v>N/T</v>
      </c>
      <c r="DL15" s="146" t="str">
        <f ca="1">RESULTADOS!CP32</f>
        <v>N/T</v>
      </c>
      <c r="DM15" s="146" t="str">
        <f ca="1">RESULTADOS!CQ32</f>
        <v>N/T</v>
      </c>
      <c r="DN15" s="146" t="str">
        <f ca="1">RESULTADOS!CR32</f>
        <v>N/T</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143</v>
      </c>
      <c r="D16" s="147" t="n">
        <f>'01.Definición de ámbito'!C41</f>
        <v>0.0</v>
      </c>
      <c r="F16" s="205"/>
      <c r="G16" s="205"/>
      <c r="H16" s="205"/>
      <c r="I16" s="205"/>
      <c r="J16" s="205"/>
      <c r="T16" s="148" t="n">
        <f>RESULTADOS!B33</f>
        <v>1.0</v>
      </c>
      <c r="U16" s="148" t="str">
        <f>RESULTADOS!C33</f>
        <v>Home - PortCastelló</v>
      </c>
      <c r="V16" s="148" t="str">
        <f t="shared" si="0"/>
        <v>Página web</v>
      </c>
      <c r="W16" s="148" t="str">
        <v/>
      </c>
      <c r="X16" s="148" t="str">
        <f>RESULTADOS!D33</f>
        <v>https://www.portcastello.com/</v>
      </c>
      <c r="Y16" s="148" t="n">
        <v>0.0</v>
      </c>
      <c r="Z16" s="237" t="str">
        <v>Ej. Imágenes, tablas, listas, multimedia, formularios, plantilla X, plantilla Y</v>
      </c>
      <c r="AA16" s="146" t="str">
        <f ca="1">RESULTADOS!E33</f>
        <v>N/T</v>
      </c>
      <c r="AB16" s="146" t="str">
        <f ca="1">RESULTADOS!F33</f>
        <v>N/T</v>
      </c>
      <c r="AC16" s="146" t="str">
        <f ca="1">RESULTADOS!G33</f>
        <v>N/T</v>
      </c>
      <c r="AD16" s="146" t="str">
        <f ca="1">RESULTADOS!H33</f>
        <v>N/T</v>
      </c>
      <c r="AE16" s="146" t="str">
        <f ca="1">RESULTADOS!I33</f>
        <v>N/T</v>
      </c>
      <c r="AF16" s="146" t="str">
        <f ca="1">RESULTADOS!J33</f>
        <v>N/T</v>
      </c>
      <c r="AG16" s="146" t="str">
        <f ca="1">RESULTADOS!K33</f>
        <v>N/T</v>
      </c>
      <c r="AH16" s="146" t="str">
        <f ca="1">RESULTADOS!L33</f>
        <v>N/T</v>
      </c>
      <c r="AI16" s="146" t="str">
        <f ca="1">RESULTADOS!M33</f>
        <v>N/T</v>
      </c>
      <c r="AJ16" s="146" t="str">
        <f ca="1">RESULTADOS!N33</f>
        <v>N/T</v>
      </c>
      <c r="AK16" s="146" t="str">
        <f ca="1">RESULTADOS!O33</f>
        <v>N/T</v>
      </c>
      <c r="AL16" s="146" t="str">
        <f ca="1">RESULTADOS!P33</f>
        <v>N/T</v>
      </c>
      <c r="AM16" s="146" t="str">
        <f ca="1">RESULTADOS!Q33</f>
        <v>N/T</v>
      </c>
      <c r="AN16" s="146" t="str">
        <f ca="1">RESULTADOS!R33</f>
        <v>N/T</v>
      </c>
      <c r="AO16" s="146" t="str">
        <f ca="1">RESULTADOS!S33</f>
        <v>N/T</v>
      </c>
      <c r="AP16" s="146" t="str">
        <f ca="1">RESULTADOS!T33</f>
        <v>N/T</v>
      </c>
      <c r="AQ16" s="146" t="str">
        <f ca="1">RESULTADOS!U33</f>
        <v>N/T</v>
      </c>
      <c r="AR16" s="146" t="str">
        <f ca="1">RESULTADOS!V33</f>
        <v>N/T</v>
      </c>
      <c r="AS16" s="146" t="str">
        <f ca="1">RESULTADOS!W33</f>
        <v>N/T</v>
      </c>
      <c r="AT16" s="146" t="str">
        <f ca="1">RESULTADOS!X33</f>
        <v>N/T</v>
      </c>
      <c r="AU16" s="146" t="str">
        <f ca="1">RESULTADOS!Y33</f>
        <v>N/T</v>
      </c>
      <c r="AV16" s="146" t="str">
        <f ca="1">RESULTADOS!Z33</f>
        <v>N/T</v>
      </c>
      <c r="AW16" s="146" t="str">
        <f ca="1">RESULTADOS!AA33</f>
        <v>N/T</v>
      </c>
      <c r="AX16" s="146" t="str">
        <f ca="1">RESULTADOS!AB33</f>
        <v>N/T</v>
      </c>
      <c r="AY16" s="146" t="str">
        <f ca="1">RESULTADOS!AC33</f>
        <v>N/T</v>
      </c>
      <c r="AZ16" s="146" t="str">
        <f ca="1">RESULTADOS!AD33</f>
        <v>N/T</v>
      </c>
      <c r="BA16" s="146" t="str">
        <f ca="1">RESULTADOS!AE33</f>
        <v>N/T</v>
      </c>
      <c r="BB16" s="146" t="str">
        <f ca="1">RESULTADOS!AF33</f>
        <v>N/T</v>
      </c>
      <c r="BC16" s="146" t="str">
        <f ca="1">RESULTADOS!AG33</f>
        <v>N/T</v>
      </c>
      <c r="BD16" s="146" t="str">
        <f ca="1">RESULTADOS!AH33</f>
        <v>N/T</v>
      </c>
      <c r="BE16" s="146" t="str">
        <f ca="1">RESULTADOS!AI33</f>
        <v>N/T</v>
      </c>
      <c r="BF16" s="146" t="str">
        <f ca="1">RESULTADOS!AJ33</f>
        <v>N/D</v>
      </c>
      <c r="BG16" s="146" t="str">
        <f ca="1">RESULTADOS!AK33</f>
        <v>N/T</v>
      </c>
      <c r="BH16" s="146" t="str">
        <f ca="1">RESULTADOS!AL33</f>
        <v>N/T</v>
      </c>
      <c r="BI16" s="146" t="str">
        <f ca="1">RESULTADOS!AM33</f>
        <v>N/T</v>
      </c>
      <c r="BJ16" s="146" t="str">
        <f ca="1">RESULTADOS!AN33</f>
        <v>N/T</v>
      </c>
      <c r="BK16" s="146" t="str">
        <f ca="1">RESULTADOS!AO33</f>
        <v>N/D</v>
      </c>
      <c r="BL16" s="146" t="str">
        <f ca="1">RESULTADOS!AP33</f>
        <v>N/T</v>
      </c>
      <c r="BM16" s="146" t="str">
        <f ca="1">RESULTADOS!AQ33</f>
        <v>N/T</v>
      </c>
      <c r="BN16" s="146" t="str">
        <f ca="1">RESULTADOS!AR33</f>
        <v>N/D</v>
      </c>
      <c r="BO16" s="146" t="str">
        <f ca="1">RESULTADOS!AS33</f>
        <v>N/D</v>
      </c>
      <c r="BP16" s="146" t="str">
        <f ca="1">RESULTADOS!AT33</f>
        <v>N/T</v>
      </c>
      <c r="BQ16" s="146" t="str">
        <f ca="1">RESULTADOS!AU33</f>
        <v>N/T</v>
      </c>
      <c r="BR16" s="146" t="str">
        <f ca="1">RESULTADOS!AV33</f>
        <v>N/D</v>
      </c>
      <c r="BS16" s="146" t="str">
        <f ca="1">RESULTADOS!AW33</f>
        <v>N/T</v>
      </c>
      <c r="BT16" s="146" t="str">
        <f ca="1">RESULTADOS!AX33</f>
        <v>N/T</v>
      </c>
      <c r="BU16" s="146" t="str">
        <f ca="1">RESULTADOS!AY33</f>
        <v>N/D</v>
      </c>
      <c r="BV16" s="146" t="str">
        <f ca="1">RESULTADOS!AZ33</f>
        <v>N/T</v>
      </c>
      <c r="BW16" s="146" t="str">
        <f ca="1">RESULTADOS!BA33</f>
        <v>N/D</v>
      </c>
      <c r="BX16" s="146" t="str">
        <f ca="1">RESULTADOS!BB33</f>
        <v>N/T</v>
      </c>
      <c r="BY16" s="146" t="str">
        <f ca="1">RESULTADOS!BC33</f>
        <v>N/D</v>
      </c>
      <c r="BZ16" s="146" t="str">
        <f ca="1">RESULTADOS!BD33</f>
        <v>N/T</v>
      </c>
      <c r="CA16" s="146" t="str">
        <f ca="1">RESULTADOS!BE33</f>
        <v>N/T</v>
      </c>
      <c r="CB16" s="146" t="str">
        <f ca="1">RESULTADOS!BF33</f>
        <v>N/D</v>
      </c>
      <c r="CC16" s="146" t="str">
        <f ca="1">RESULTADOS!BG33</f>
        <v>N/D</v>
      </c>
      <c r="CD16" s="146" t="str">
        <f ca="1">RESULTADOS!BH33</f>
        <v>N/T</v>
      </c>
      <c r="CE16" s="146" t="str">
        <f ca="1">RESULTADOS!BI33</f>
        <v>N/D</v>
      </c>
      <c r="CF16" s="146" t="str">
        <f ca="1">RESULTADOS!BJ33</f>
        <v>N/D</v>
      </c>
      <c r="CG16" s="146" t="str">
        <f ca="1">RESULTADOS!BK33</f>
        <v>N/D</v>
      </c>
      <c r="CH16" s="146" t="str">
        <f ca="1">RESULTADOS!BL33</f>
        <v>N/D</v>
      </c>
      <c r="CI16" s="146" t="str">
        <f ca="1">RESULTADOS!BM33</f>
        <v>N/D</v>
      </c>
      <c r="CJ16" s="146" t="str">
        <f ca="1">RESULTADOS!BN33</f>
        <v>N/T</v>
      </c>
      <c r="CK16" s="146" t="str">
        <f ca="1">RESULTADOS!BO33</f>
        <v>N/D</v>
      </c>
      <c r="CL16" s="146" t="str">
        <f ca="1">RESULTADOS!BP33</f>
        <v>N/T</v>
      </c>
      <c r="CM16" s="146" t="str">
        <f ca="1">RESULTADOS!BQ33</f>
        <v>N/T</v>
      </c>
      <c r="CN16" s="146" t="str">
        <f ca="1">RESULTADOS!BR33</f>
        <v>N/D</v>
      </c>
      <c r="CO16" s="146" t="str">
        <f ca="1">RESULTADOS!BS33</f>
        <v>N/T</v>
      </c>
      <c r="CP16" s="146" t="str">
        <f ca="1">RESULTADOS!BT33</f>
        <v>N/D</v>
      </c>
      <c r="CQ16" s="146" t="str">
        <f ca="1">RESULTADOS!BU33</f>
        <v>N/D</v>
      </c>
      <c r="CR16" s="146" t="str">
        <f ca="1">RESULTADOS!BV33</f>
        <v>N/D</v>
      </c>
      <c r="CS16" s="146" t="str">
        <f ca="1">RESULTADOS!BW33</f>
        <v>N/D</v>
      </c>
      <c r="CT16" s="146" t="str">
        <f ca="1">RESULTADOS!BX33</f>
        <v>N/D</v>
      </c>
      <c r="CU16" s="146" t="str">
        <f ca="1">RESULTADOS!BY33</f>
        <v>N/T</v>
      </c>
      <c r="CV16" s="146" t="str">
        <f ca="1">RESULTADOS!BZ33</f>
        <v>N/T</v>
      </c>
      <c r="CW16" s="146" t="str">
        <f ca="1">RESULTADOS!CA33</f>
        <v>N/D</v>
      </c>
      <c r="CX16" s="146" t="str">
        <f ca="1">RESULTADOS!CB33</f>
        <v>N/T</v>
      </c>
      <c r="CY16" s="146" t="str">
        <f ca="1">RESULTADOS!CC33</f>
        <v>N/T</v>
      </c>
      <c r="CZ16" s="146" t="str">
        <f ca="1">RESULTADOS!CD33</f>
        <v>N/T</v>
      </c>
      <c r="DA16" s="146" t="str">
        <f ca="1">RESULTADOS!CE33</f>
        <v>N/D</v>
      </c>
      <c r="DB16" s="146" t="str">
        <f ca="1">RESULTADOS!CF33</f>
        <v>N/T</v>
      </c>
      <c r="DC16" s="146" t="str">
        <f ca="1">RESULTADOS!CG33</f>
        <v>N/T</v>
      </c>
      <c r="DD16" s="146" t="str">
        <f ca="1">RESULTADOS!CH33</f>
        <v>N/T</v>
      </c>
      <c r="DE16" s="146" t="str">
        <f ca="1">RESULTADOS!CI33</f>
        <v>N/T</v>
      </c>
      <c r="DF16" s="146" t="str">
        <f ca="1">RESULTADOS!CJ33</f>
        <v>N/T</v>
      </c>
      <c r="DG16" s="146" t="str">
        <f ca="1">RESULTADOS!CK33</f>
        <v>N/T</v>
      </c>
      <c r="DH16" s="146" t="str">
        <f ca="1">RESULTADOS!CL33</f>
        <v>N/T</v>
      </c>
      <c r="DI16" s="146" t="str">
        <f ca="1">RESULTADOS!CM33</f>
        <v>N/T</v>
      </c>
      <c r="DJ16" s="146" t="str">
        <f ca="1">RESULTADOS!CN33</f>
        <v>N/T</v>
      </c>
      <c r="DK16" s="146" t="str">
        <f ca="1">RESULTADOS!CO33</f>
        <v>N/T</v>
      </c>
      <c r="DL16" s="146" t="str">
        <f ca="1">RESULTADOS!CP33</f>
        <v>N/T</v>
      </c>
      <c r="DM16" s="146" t="str">
        <f ca="1">RESULTADOS!CQ33</f>
        <v>N/T</v>
      </c>
      <c r="DN16" s="146" t="str">
        <f ca="1">RESULTADOS!CR33</f>
        <v>N/T</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144</v>
      </c>
      <c r="D17" s="147" t="n">
        <f>'01.Definición de ámbito'!C45</f>
        <v>0.0</v>
      </c>
      <c r="K17" s="40" t="s">
        <v>138</v>
      </c>
      <c r="T17" s="148" t="n">
        <f>RESULTADOS!B34</f>
        <v>1.0</v>
      </c>
      <c r="U17" s="148" t="str">
        <f>RESULTADOS!C34</f>
        <v>Home - PortCastelló</v>
      </c>
      <c r="V17" s="148" t="str">
        <f t="shared" si="0"/>
        <v>Página web</v>
      </c>
      <c r="W17" s="148" t="str">
        <v/>
      </c>
      <c r="X17" s="148" t="str">
        <f>RESULTADOS!D34</f>
        <v>https://www.portcastello.com/</v>
      </c>
      <c r="Y17" s="148" t="n">
        <v>0.0</v>
      </c>
      <c r="Z17" s="237" t="str">
        <v>Ej. Imágenes, tablas, listas, multimedia, formularios, plantilla X, plantilla Y</v>
      </c>
      <c r="AA17" s="146" t="str">
        <f ca="1">RESULTADOS!E34</f>
        <v>N/T</v>
      </c>
      <c r="AB17" s="146" t="str">
        <f ca="1">RESULTADOS!F34</f>
        <v>N/T</v>
      </c>
      <c r="AC17" s="146" t="str">
        <f ca="1">RESULTADOS!G34</f>
        <v>N/T</v>
      </c>
      <c r="AD17" s="146" t="str">
        <f ca="1">RESULTADOS!H34</f>
        <v>N/T</v>
      </c>
      <c r="AE17" s="146" t="str">
        <f ca="1">RESULTADOS!I34</f>
        <v>N/T</v>
      </c>
      <c r="AF17" s="146" t="str">
        <f ca="1">RESULTADOS!J34</f>
        <v>N/T</v>
      </c>
      <c r="AG17" s="146" t="str">
        <f ca="1">RESULTADOS!K34</f>
        <v>N/T</v>
      </c>
      <c r="AH17" s="146" t="str">
        <f ca="1">RESULTADOS!L34</f>
        <v>N/T</v>
      </c>
      <c r="AI17" s="146" t="str">
        <f ca="1">RESULTADOS!M34</f>
        <v>N/T</v>
      </c>
      <c r="AJ17" s="146" t="str">
        <f ca="1">RESULTADOS!N34</f>
        <v>N/T</v>
      </c>
      <c r="AK17" s="146" t="str">
        <f ca="1">RESULTADOS!O34</f>
        <v>N/T</v>
      </c>
      <c r="AL17" s="146" t="str">
        <f ca="1">RESULTADOS!P34</f>
        <v>N/T</v>
      </c>
      <c r="AM17" s="146" t="str">
        <f ca="1">RESULTADOS!Q34</f>
        <v>N/T</v>
      </c>
      <c r="AN17" s="146" t="str">
        <f ca="1">RESULTADOS!R34</f>
        <v>N/T</v>
      </c>
      <c r="AO17" s="146" t="str">
        <f ca="1">RESULTADOS!S34</f>
        <v>N/T</v>
      </c>
      <c r="AP17" s="146" t="str">
        <f ca="1">RESULTADOS!T34</f>
        <v>N/T</v>
      </c>
      <c r="AQ17" s="146" t="str">
        <f ca="1">RESULTADOS!U34</f>
        <v>N/T</v>
      </c>
      <c r="AR17" s="146" t="str">
        <f ca="1">RESULTADOS!V34</f>
        <v>N/T</v>
      </c>
      <c r="AS17" s="146" t="str">
        <f ca="1">RESULTADOS!W34</f>
        <v>N/T</v>
      </c>
      <c r="AT17" s="146" t="str">
        <f ca="1">RESULTADOS!X34</f>
        <v>N/T</v>
      </c>
      <c r="AU17" s="146" t="str">
        <f ca="1">RESULTADOS!Y34</f>
        <v>N/T</v>
      </c>
      <c r="AV17" s="146" t="str">
        <f ca="1">RESULTADOS!Z34</f>
        <v>N/T</v>
      </c>
      <c r="AW17" s="146" t="str">
        <f ca="1">RESULTADOS!AA34</f>
        <v>N/T</v>
      </c>
      <c r="AX17" s="146" t="str">
        <f ca="1">RESULTADOS!AB34</f>
        <v>N/T</v>
      </c>
      <c r="AY17" s="146" t="str">
        <f ca="1">RESULTADOS!AC34</f>
        <v>N/T</v>
      </c>
      <c r="AZ17" s="146" t="str">
        <f ca="1">RESULTADOS!AD34</f>
        <v>N/T</v>
      </c>
      <c r="BA17" s="146" t="str">
        <f ca="1">RESULTADOS!AE34</f>
        <v>N/T</v>
      </c>
      <c r="BB17" s="146" t="str">
        <f ca="1">RESULTADOS!AF34</f>
        <v>N/T</v>
      </c>
      <c r="BC17" s="146" t="str">
        <f ca="1">RESULTADOS!AG34</f>
        <v>N/T</v>
      </c>
      <c r="BD17" s="146" t="str">
        <f ca="1">RESULTADOS!AH34</f>
        <v>N/T</v>
      </c>
      <c r="BE17" s="146" t="str">
        <f ca="1">RESULTADOS!AI34</f>
        <v>N/T</v>
      </c>
      <c r="BF17" s="146" t="str">
        <f ca="1">RESULTADOS!AJ34</f>
        <v>N/D</v>
      </c>
      <c r="BG17" s="146" t="str">
        <f ca="1">RESULTADOS!AK34</f>
        <v>N/T</v>
      </c>
      <c r="BH17" s="146" t="str">
        <f ca="1">RESULTADOS!AL34</f>
        <v>N/T</v>
      </c>
      <c r="BI17" s="146" t="str">
        <f ca="1">RESULTADOS!AM34</f>
        <v>N/T</v>
      </c>
      <c r="BJ17" s="146" t="str">
        <f ca="1">RESULTADOS!AN34</f>
        <v>N/T</v>
      </c>
      <c r="BK17" s="146" t="str">
        <f ca="1">RESULTADOS!AO34</f>
        <v>N/D</v>
      </c>
      <c r="BL17" s="146" t="str">
        <f ca="1">RESULTADOS!AP34</f>
        <v>N/T</v>
      </c>
      <c r="BM17" s="146" t="str">
        <f ca="1">RESULTADOS!AQ34</f>
        <v>N/T</v>
      </c>
      <c r="BN17" s="146" t="str">
        <f ca="1">RESULTADOS!AR34</f>
        <v>N/D</v>
      </c>
      <c r="BO17" s="146" t="str">
        <f ca="1">RESULTADOS!AS34</f>
        <v>N/D</v>
      </c>
      <c r="BP17" s="146" t="str">
        <f ca="1">RESULTADOS!AT34</f>
        <v>N/T</v>
      </c>
      <c r="BQ17" s="146" t="str">
        <f ca="1">RESULTADOS!AU34</f>
        <v>N/T</v>
      </c>
      <c r="BR17" s="146" t="str">
        <f ca="1">RESULTADOS!AV34</f>
        <v>N/D</v>
      </c>
      <c r="BS17" s="146" t="str">
        <f ca="1">RESULTADOS!AW34</f>
        <v>N/T</v>
      </c>
      <c r="BT17" s="146" t="str">
        <f ca="1">RESULTADOS!AX34</f>
        <v>N/T</v>
      </c>
      <c r="BU17" s="146" t="str">
        <f ca="1">RESULTADOS!AY34</f>
        <v>N/D</v>
      </c>
      <c r="BV17" s="146" t="str">
        <f ca="1">RESULTADOS!AZ34</f>
        <v>N/T</v>
      </c>
      <c r="BW17" s="146" t="str">
        <f ca="1">RESULTADOS!BA34</f>
        <v>N/D</v>
      </c>
      <c r="BX17" s="146" t="str">
        <f ca="1">RESULTADOS!BB34</f>
        <v>N/T</v>
      </c>
      <c r="BY17" s="146" t="str">
        <f ca="1">RESULTADOS!BC34</f>
        <v>N/D</v>
      </c>
      <c r="BZ17" s="146" t="str">
        <f ca="1">RESULTADOS!BD34</f>
        <v>N/T</v>
      </c>
      <c r="CA17" s="146" t="str">
        <f ca="1">RESULTADOS!BE34</f>
        <v>N/T</v>
      </c>
      <c r="CB17" s="146" t="str">
        <f ca="1">RESULTADOS!BF34</f>
        <v>N/D</v>
      </c>
      <c r="CC17" s="146" t="str">
        <f ca="1">RESULTADOS!BG34</f>
        <v>N/D</v>
      </c>
      <c r="CD17" s="146" t="str">
        <f ca="1">RESULTADOS!BH34</f>
        <v>N/T</v>
      </c>
      <c r="CE17" s="146" t="str">
        <f ca="1">RESULTADOS!BI34</f>
        <v>N/D</v>
      </c>
      <c r="CF17" s="146" t="str">
        <f ca="1">RESULTADOS!BJ34</f>
        <v>N/D</v>
      </c>
      <c r="CG17" s="146" t="str">
        <f ca="1">RESULTADOS!BK34</f>
        <v>N/D</v>
      </c>
      <c r="CH17" s="146" t="str">
        <f ca="1">RESULTADOS!BL34</f>
        <v>N/D</v>
      </c>
      <c r="CI17" s="146" t="str">
        <f ca="1">RESULTADOS!BM34</f>
        <v>N/D</v>
      </c>
      <c r="CJ17" s="146" t="str">
        <f ca="1">RESULTADOS!BN34</f>
        <v>N/T</v>
      </c>
      <c r="CK17" s="146" t="str">
        <f ca="1">RESULTADOS!BO34</f>
        <v>N/D</v>
      </c>
      <c r="CL17" s="146" t="str">
        <f ca="1">RESULTADOS!BP34</f>
        <v>N/T</v>
      </c>
      <c r="CM17" s="146" t="str">
        <f ca="1">RESULTADOS!BQ34</f>
        <v>N/T</v>
      </c>
      <c r="CN17" s="146" t="str">
        <f ca="1">RESULTADOS!BR34</f>
        <v>N/D</v>
      </c>
      <c r="CO17" s="146" t="str">
        <f ca="1">RESULTADOS!BS34</f>
        <v>N/T</v>
      </c>
      <c r="CP17" s="146" t="str">
        <f ca="1">RESULTADOS!BT34</f>
        <v>N/D</v>
      </c>
      <c r="CQ17" s="146" t="str">
        <f ca="1">RESULTADOS!BU34</f>
        <v>N/D</v>
      </c>
      <c r="CR17" s="146" t="str">
        <f ca="1">RESULTADOS!BV34</f>
        <v>N/D</v>
      </c>
      <c r="CS17" s="146" t="str">
        <f ca="1">RESULTADOS!BW34</f>
        <v>N/D</v>
      </c>
      <c r="CT17" s="146" t="str">
        <f ca="1">RESULTADOS!BX34</f>
        <v>N/D</v>
      </c>
      <c r="CU17" s="146" t="str">
        <f ca="1">RESULTADOS!BY34</f>
        <v>N/T</v>
      </c>
      <c r="CV17" s="146" t="str">
        <f ca="1">RESULTADOS!BZ34</f>
        <v>N/T</v>
      </c>
      <c r="CW17" s="146" t="str">
        <f ca="1">RESULTADOS!CA34</f>
        <v>N/D</v>
      </c>
      <c r="CX17" s="146" t="str">
        <f ca="1">RESULTADOS!CB34</f>
        <v>N/T</v>
      </c>
      <c r="CY17" s="146" t="str">
        <f ca="1">RESULTADOS!CC34</f>
        <v>N/T</v>
      </c>
      <c r="CZ17" s="146" t="str">
        <f ca="1">RESULTADOS!CD34</f>
        <v>N/T</v>
      </c>
      <c r="DA17" s="146" t="str">
        <f ca="1">RESULTADOS!CE34</f>
        <v>N/D</v>
      </c>
      <c r="DB17" s="146" t="str">
        <f ca="1">RESULTADOS!CF34</f>
        <v>N/T</v>
      </c>
      <c r="DC17" s="146" t="str">
        <f ca="1">RESULTADOS!CG34</f>
        <v>N/T</v>
      </c>
      <c r="DD17" s="146" t="str">
        <f ca="1">RESULTADOS!CH34</f>
        <v>N/T</v>
      </c>
      <c r="DE17" s="146" t="str">
        <f ca="1">RESULTADOS!CI34</f>
        <v>N/T</v>
      </c>
      <c r="DF17" s="146" t="str">
        <f ca="1">RESULTADOS!CJ34</f>
        <v>N/T</v>
      </c>
      <c r="DG17" s="146" t="str">
        <f ca="1">RESULTADOS!CK34</f>
        <v>N/T</v>
      </c>
      <c r="DH17" s="146" t="str">
        <f ca="1">RESULTADOS!CL34</f>
        <v>N/T</v>
      </c>
      <c r="DI17" s="146" t="str">
        <f ca="1">RESULTADOS!CM34</f>
        <v>N/T</v>
      </c>
      <c r="DJ17" s="146" t="str">
        <f ca="1">RESULTADOS!CN34</f>
        <v>N/T</v>
      </c>
      <c r="DK17" s="146" t="str">
        <f ca="1">RESULTADOS!CO34</f>
        <v>N/T</v>
      </c>
      <c r="DL17" s="146" t="str">
        <f ca="1">RESULTADOS!CP34</f>
        <v>N/T</v>
      </c>
      <c r="DM17" s="146" t="str">
        <f ca="1">RESULTADOS!CQ34</f>
        <v>N/T</v>
      </c>
      <c r="DN17" s="146" t="str">
        <f ca="1">RESULTADOS!CR34</f>
        <v>N/T</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26</v>
      </c>
      <c r="L18" s="148" t="n">
        <f ca="1">RESULTADOS!L8</f>
        <v>0.0</v>
      </c>
      <c r="M18" s="216" t="n">
        <f ca="1">RESULTADOS!M8</f>
        <v>0.0</v>
      </c>
      <c r="T18" s="148" t="n">
        <f>RESULTADOS!B35</f>
        <v>1.0</v>
      </c>
      <c r="U18" s="148" t="str">
        <f>RESULTADOS!C35</f>
        <v>Home - PortCastelló</v>
      </c>
      <c r="V18" s="148" t="str">
        <f t="shared" si="0"/>
        <v>Página web</v>
      </c>
      <c r="W18" s="148" t="str">
        <v/>
      </c>
      <c r="X18" s="148" t="str">
        <f>RESULTADOS!D35</f>
        <v>https://www.portcastello.com/</v>
      </c>
      <c r="Y18" s="148" t="n">
        <v>0.0</v>
      </c>
      <c r="Z18" s="237" t="str">
        <v>Ej. Imágenes, tablas, listas, multimedia, formularios, plantilla X, plantilla Y</v>
      </c>
      <c r="AA18" s="146" t="str">
        <f ca="1">RESULTADOS!E35</f>
        <v>N/T</v>
      </c>
      <c r="AB18" s="146" t="str">
        <f ca="1">RESULTADOS!F35</f>
        <v>N/T</v>
      </c>
      <c r="AC18" s="146" t="str">
        <f ca="1">RESULTADOS!G35</f>
        <v>N/T</v>
      </c>
      <c r="AD18" s="146" t="str">
        <f ca="1">RESULTADOS!H35</f>
        <v>N/T</v>
      </c>
      <c r="AE18" s="146" t="str">
        <f ca="1">RESULTADOS!I35</f>
        <v>N/T</v>
      </c>
      <c r="AF18" s="146" t="str">
        <f ca="1">RESULTADOS!J35</f>
        <v>N/T</v>
      </c>
      <c r="AG18" s="146" t="str">
        <f ca="1">RESULTADOS!K35</f>
        <v>N/T</v>
      </c>
      <c r="AH18" s="146" t="str">
        <f ca="1">RESULTADOS!L35</f>
        <v>N/T</v>
      </c>
      <c r="AI18" s="146" t="str">
        <f ca="1">RESULTADOS!M35</f>
        <v>N/T</v>
      </c>
      <c r="AJ18" s="146" t="str">
        <f ca="1">RESULTADOS!N35</f>
        <v>N/T</v>
      </c>
      <c r="AK18" s="146" t="str">
        <f ca="1">RESULTADOS!O35</f>
        <v>N/T</v>
      </c>
      <c r="AL18" s="146" t="str">
        <f ca="1">RESULTADOS!P35</f>
        <v>N/T</v>
      </c>
      <c r="AM18" s="146" t="str">
        <f ca="1">RESULTADOS!Q35</f>
        <v>N/T</v>
      </c>
      <c r="AN18" s="146" t="str">
        <f ca="1">RESULTADOS!R35</f>
        <v>N/T</v>
      </c>
      <c r="AO18" s="146" t="str">
        <f ca="1">RESULTADOS!S35</f>
        <v>N/T</v>
      </c>
      <c r="AP18" s="146" t="str">
        <f ca="1">RESULTADOS!T35</f>
        <v>N/T</v>
      </c>
      <c r="AQ18" s="146" t="str">
        <f ca="1">RESULTADOS!U35</f>
        <v>N/T</v>
      </c>
      <c r="AR18" s="146" t="str">
        <f ca="1">RESULTADOS!V35</f>
        <v>N/T</v>
      </c>
      <c r="AS18" s="146" t="str">
        <f ca="1">RESULTADOS!W35</f>
        <v>N/T</v>
      </c>
      <c r="AT18" s="146" t="str">
        <f ca="1">RESULTADOS!X35</f>
        <v>N/T</v>
      </c>
      <c r="AU18" s="146" t="str">
        <f ca="1">RESULTADOS!Y35</f>
        <v>N/T</v>
      </c>
      <c r="AV18" s="146" t="str">
        <f ca="1">RESULTADOS!Z35</f>
        <v>N/T</v>
      </c>
      <c r="AW18" s="146" t="str">
        <f ca="1">RESULTADOS!AA35</f>
        <v>N/T</v>
      </c>
      <c r="AX18" s="146" t="str">
        <f ca="1">RESULTADOS!AB35</f>
        <v>N/T</v>
      </c>
      <c r="AY18" s="146" t="str">
        <f ca="1">RESULTADOS!AC35</f>
        <v>N/T</v>
      </c>
      <c r="AZ18" s="146" t="str">
        <f ca="1">RESULTADOS!AD35</f>
        <v>N/T</v>
      </c>
      <c r="BA18" s="146" t="str">
        <f ca="1">RESULTADOS!AE35</f>
        <v>N/T</v>
      </c>
      <c r="BB18" s="146" t="str">
        <f ca="1">RESULTADOS!AF35</f>
        <v>N/T</v>
      </c>
      <c r="BC18" s="146" t="str">
        <f ca="1">RESULTADOS!AG35</f>
        <v>N/T</v>
      </c>
      <c r="BD18" s="146" t="str">
        <f ca="1">RESULTADOS!AH35</f>
        <v>N/T</v>
      </c>
      <c r="BE18" s="146" t="str">
        <f ca="1">RESULTADOS!AI35</f>
        <v>N/T</v>
      </c>
      <c r="BF18" s="146" t="str">
        <f ca="1">RESULTADOS!AJ35</f>
        <v>N/D</v>
      </c>
      <c r="BG18" s="146" t="str">
        <f ca="1">RESULTADOS!AK35</f>
        <v>N/T</v>
      </c>
      <c r="BH18" s="146" t="str">
        <f ca="1">RESULTADOS!AL35</f>
        <v>N/T</v>
      </c>
      <c r="BI18" s="146" t="str">
        <f ca="1">RESULTADOS!AM35</f>
        <v>N/T</v>
      </c>
      <c r="BJ18" s="146" t="str">
        <f ca="1">RESULTADOS!AN35</f>
        <v>N/T</v>
      </c>
      <c r="BK18" s="146" t="str">
        <f ca="1">RESULTADOS!AO35</f>
        <v>N/D</v>
      </c>
      <c r="BL18" s="146" t="str">
        <f ca="1">RESULTADOS!AP35</f>
        <v>N/T</v>
      </c>
      <c r="BM18" s="146" t="str">
        <f ca="1">RESULTADOS!AQ35</f>
        <v>N/T</v>
      </c>
      <c r="BN18" s="146" t="str">
        <f ca="1">RESULTADOS!AR35</f>
        <v>N/D</v>
      </c>
      <c r="BO18" s="146" t="str">
        <f ca="1">RESULTADOS!AS35</f>
        <v>N/D</v>
      </c>
      <c r="BP18" s="146" t="str">
        <f ca="1">RESULTADOS!AT35</f>
        <v>N/T</v>
      </c>
      <c r="BQ18" s="146" t="str">
        <f ca="1">RESULTADOS!AU35</f>
        <v>N/T</v>
      </c>
      <c r="BR18" s="146" t="str">
        <f ca="1">RESULTADOS!AV35</f>
        <v>N/D</v>
      </c>
      <c r="BS18" s="146" t="str">
        <f ca="1">RESULTADOS!AW35</f>
        <v>N/T</v>
      </c>
      <c r="BT18" s="146" t="str">
        <f ca="1">RESULTADOS!AX35</f>
        <v>N/T</v>
      </c>
      <c r="BU18" s="146" t="str">
        <f ca="1">RESULTADOS!AY35</f>
        <v>N/D</v>
      </c>
      <c r="BV18" s="146" t="str">
        <f ca="1">RESULTADOS!AZ35</f>
        <v>N/T</v>
      </c>
      <c r="BW18" s="146" t="str">
        <f ca="1">RESULTADOS!BA35</f>
        <v>N/D</v>
      </c>
      <c r="BX18" s="146" t="str">
        <f ca="1">RESULTADOS!BB35</f>
        <v>N/T</v>
      </c>
      <c r="BY18" s="146" t="str">
        <f ca="1">RESULTADOS!BC35</f>
        <v>N/D</v>
      </c>
      <c r="BZ18" s="146" t="str">
        <f ca="1">RESULTADOS!BD35</f>
        <v>N/T</v>
      </c>
      <c r="CA18" s="146" t="str">
        <f ca="1">RESULTADOS!BE35</f>
        <v>N/T</v>
      </c>
      <c r="CB18" s="146" t="str">
        <f ca="1">RESULTADOS!BF35</f>
        <v>N/D</v>
      </c>
      <c r="CC18" s="146" t="str">
        <f ca="1">RESULTADOS!BG35</f>
        <v>N/D</v>
      </c>
      <c r="CD18" s="146" t="str">
        <f ca="1">RESULTADOS!BH35</f>
        <v>N/T</v>
      </c>
      <c r="CE18" s="146" t="str">
        <f ca="1">RESULTADOS!BI35</f>
        <v>N/D</v>
      </c>
      <c r="CF18" s="146" t="str">
        <f ca="1">RESULTADOS!BJ35</f>
        <v>N/D</v>
      </c>
      <c r="CG18" s="146" t="str">
        <f ca="1">RESULTADOS!BK35</f>
        <v>N/D</v>
      </c>
      <c r="CH18" s="146" t="str">
        <f ca="1">RESULTADOS!BL35</f>
        <v>N/D</v>
      </c>
      <c r="CI18" s="146" t="str">
        <f ca="1">RESULTADOS!BM35</f>
        <v>N/D</v>
      </c>
      <c r="CJ18" s="146" t="str">
        <f ca="1">RESULTADOS!BN35</f>
        <v>N/T</v>
      </c>
      <c r="CK18" s="146" t="str">
        <f ca="1">RESULTADOS!BO35</f>
        <v>N/D</v>
      </c>
      <c r="CL18" s="146" t="str">
        <f ca="1">RESULTADOS!BP35</f>
        <v>N/T</v>
      </c>
      <c r="CM18" s="146" t="str">
        <f ca="1">RESULTADOS!BQ35</f>
        <v>N/T</v>
      </c>
      <c r="CN18" s="146" t="str">
        <f ca="1">RESULTADOS!BR35</f>
        <v>N/D</v>
      </c>
      <c r="CO18" s="146" t="str">
        <f ca="1">RESULTADOS!BS35</f>
        <v>N/T</v>
      </c>
      <c r="CP18" s="146" t="str">
        <f ca="1">RESULTADOS!BT35</f>
        <v>N/D</v>
      </c>
      <c r="CQ18" s="146" t="str">
        <f ca="1">RESULTADOS!BU35</f>
        <v>N/D</v>
      </c>
      <c r="CR18" s="146" t="str">
        <f ca="1">RESULTADOS!BV35</f>
        <v>N/D</v>
      </c>
      <c r="CS18" s="146" t="str">
        <f ca="1">RESULTADOS!BW35</f>
        <v>N/D</v>
      </c>
      <c r="CT18" s="146" t="str">
        <f ca="1">RESULTADOS!BX35</f>
        <v>N/D</v>
      </c>
      <c r="CU18" s="146" t="str">
        <f ca="1">RESULTADOS!BY35</f>
        <v>N/T</v>
      </c>
      <c r="CV18" s="146" t="str">
        <f ca="1">RESULTADOS!BZ35</f>
        <v>N/T</v>
      </c>
      <c r="CW18" s="146" t="str">
        <f ca="1">RESULTADOS!CA35</f>
        <v>N/D</v>
      </c>
      <c r="CX18" s="146" t="str">
        <f ca="1">RESULTADOS!CB35</f>
        <v>N/T</v>
      </c>
      <c r="CY18" s="146" t="str">
        <f ca="1">RESULTADOS!CC35</f>
        <v>N/T</v>
      </c>
      <c r="CZ18" s="146" t="str">
        <f ca="1">RESULTADOS!CD35</f>
        <v>N/T</v>
      </c>
      <c r="DA18" s="146" t="str">
        <f ca="1">RESULTADOS!CE35</f>
        <v>N/D</v>
      </c>
      <c r="DB18" s="146" t="str">
        <f ca="1">RESULTADOS!CF35</f>
        <v>N/T</v>
      </c>
      <c r="DC18" s="146" t="str">
        <f ca="1">RESULTADOS!CG35</f>
        <v>N/T</v>
      </c>
      <c r="DD18" s="146" t="str">
        <f ca="1">RESULTADOS!CH35</f>
        <v>N/T</v>
      </c>
      <c r="DE18" s="146" t="str">
        <f ca="1">RESULTADOS!CI35</f>
        <v>N/T</v>
      </c>
      <c r="DF18" s="146" t="str">
        <f ca="1">RESULTADOS!CJ35</f>
        <v>N/T</v>
      </c>
      <c r="DG18" s="146" t="str">
        <f ca="1">RESULTADOS!CK35</f>
        <v>N/T</v>
      </c>
      <c r="DH18" s="146" t="str">
        <f ca="1">RESULTADOS!CL35</f>
        <v>N/T</v>
      </c>
      <c r="DI18" s="146" t="str">
        <f ca="1">RESULTADOS!CM35</f>
        <v>N/T</v>
      </c>
      <c r="DJ18" s="146" t="str">
        <f ca="1">RESULTADOS!CN35</f>
        <v>N/T</v>
      </c>
      <c r="DK18" s="146" t="str">
        <f ca="1">RESULTADOS!CO35</f>
        <v>N/T</v>
      </c>
      <c r="DL18" s="146" t="str">
        <f ca="1">RESULTADOS!CP35</f>
        <v>N/T</v>
      </c>
      <c r="DM18" s="146" t="str">
        <f ca="1">RESULTADOS!CQ35</f>
        <v>N/T</v>
      </c>
      <c r="DN18" s="146" t="str">
        <f ca="1">RESULTADOS!CR35</f>
        <v>N/T</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274</v>
      </c>
      <c r="D19" s="147" t="str">
        <f>'01.Definición de ámbito'!D49</f>
        <v>No</v>
      </c>
      <c r="K19" s="40" t="s">
        <v>28</v>
      </c>
      <c r="L19" s="148" t="n">
        <f ca="1">RESULTADOS!L9</f>
        <v>5.0</v>
      </c>
      <c r="M19" s="216" t="n">
        <f ca="1">RESULTADOS!M9</f>
        <v>0.01824817518248175</v>
      </c>
      <c r="T19" s="148" t="n">
        <f>RESULTADOS!B36</f>
        <v>1.0</v>
      </c>
      <c r="U19" s="148" t="str">
        <f>RESULTADOS!C36</f>
        <v>Home - PortCastelló</v>
      </c>
      <c r="V19" s="148" t="str">
        <f t="shared" si="0"/>
        <v>Página web</v>
      </c>
      <c r="W19" s="148" t="str">
        <v/>
      </c>
      <c r="X19" s="148" t="str">
        <f>RESULTADOS!D36</f>
        <v>https://www.portcastello.com/</v>
      </c>
      <c r="Y19" s="148" t="n">
        <v>0.0</v>
      </c>
      <c r="Z19" s="237" t="str">
        <v>Ej. Imágenes, tablas, listas, multimedia, formularios, plantilla X, plantilla Y</v>
      </c>
      <c r="AA19" s="146" t="str">
        <f ca="1">RESULTADOS!E36</f>
        <v>N/T</v>
      </c>
      <c r="AB19" s="146" t="str">
        <f ca="1">RESULTADOS!F36</f>
        <v>N/T</v>
      </c>
      <c r="AC19" s="146" t="str">
        <f ca="1">RESULTADOS!G36</f>
        <v>N/T</v>
      </c>
      <c r="AD19" s="146" t="str">
        <f ca="1">RESULTADOS!H36</f>
        <v>N/T</v>
      </c>
      <c r="AE19" s="146" t="str">
        <f ca="1">RESULTADOS!I36</f>
        <v>N/T</v>
      </c>
      <c r="AF19" s="146" t="str">
        <f ca="1">RESULTADOS!J36</f>
        <v>N/T</v>
      </c>
      <c r="AG19" s="146" t="str">
        <f ca="1">RESULTADOS!K36</f>
        <v>N/T</v>
      </c>
      <c r="AH19" s="146" t="str">
        <f ca="1">RESULTADOS!L36</f>
        <v>N/T</v>
      </c>
      <c r="AI19" s="146" t="str">
        <f ca="1">RESULTADOS!M36</f>
        <v>N/T</v>
      </c>
      <c r="AJ19" s="146" t="str">
        <f ca="1">RESULTADOS!N36</f>
        <v>N/T</v>
      </c>
      <c r="AK19" s="146" t="str">
        <f ca="1">RESULTADOS!O36</f>
        <v>N/T</v>
      </c>
      <c r="AL19" s="146" t="str">
        <f ca="1">RESULTADOS!P36</f>
        <v>N/T</v>
      </c>
      <c r="AM19" s="146" t="str">
        <f ca="1">RESULTADOS!Q36</f>
        <v>N/T</v>
      </c>
      <c r="AN19" s="146" t="str">
        <f ca="1">RESULTADOS!R36</f>
        <v>N/T</v>
      </c>
      <c r="AO19" s="146" t="str">
        <f ca="1">RESULTADOS!S36</f>
        <v>N/T</v>
      </c>
      <c r="AP19" s="146" t="str">
        <f ca="1">RESULTADOS!T36</f>
        <v>N/T</v>
      </c>
      <c r="AQ19" s="146" t="str">
        <f ca="1">RESULTADOS!U36</f>
        <v>N/T</v>
      </c>
      <c r="AR19" s="146" t="str">
        <f ca="1">RESULTADOS!V36</f>
        <v>N/T</v>
      </c>
      <c r="AS19" s="146" t="str">
        <f ca="1">RESULTADOS!W36</f>
        <v>N/T</v>
      </c>
      <c r="AT19" s="146" t="str">
        <f ca="1">RESULTADOS!X36</f>
        <v>N/T</v>
      </c>
      <c r="AU19" s="146" t="str">
        <f ca="1">RESULTADOS!Y36</f>
        <v>N/T</v>
      </c>
      <c r="AV19" s="146" t="str">
        <f ca="1">RESULTADOS!Z36</f>
        <v>N/T</v>
      </c>
      <c r="AW19" s="146" t="str">
        <f ca="1">RESULTADOS!AA36</f>
        <v>N/T</v>
      </c>
      <c r="AX19" s="146" t="str">
        <f ca="1">RESULTADOS!AB36</f>
        <v>N/T</v>
      </c>
      <c r="AY19" s="146" t="str">
        <f ca="1">RESULTADOS!AC36</f>
        <v>N/T</v>
      </c>
      <c r="AZ19" s="146" t="str">
        <f ca="1">RESULTADOS!AD36</f>
        <v>N/T</v>
      </c>
      <c r="BA19" s="146" t="str">
        <f ca="1">RESULTADOS!AE36</f>
        <v>N/T</v>
      </c>
      <c r="BB19" s="146" t="str">
        <f ca="1">RESULTADOS!AF36</f>
        <v>N/T</v>
      </c>
      <c r="BC19" s="146" t="str">
        <f ca="1">RESULTADOS!AG36</f>
        <v>N/T</v>
      </c>
      <c r="BD19" s="146" t="str">
        <f ca="1">RESULTADOS!AH36</f>
        <v>N/T</v>
      </c>
      <c r="BE19" s="146" t="str">
        <f ca="1">RESULTADOS!AI36</f>
        <v>N/T</v>
      </c>
      <c r="BF19" s="146" t="str">
        <f ca="1">RESULTADOS!AJ36</f>
        <v>N/D</v>
      </c>
      <c r="BG19" s="146" t="str">
        <f ca="1">RESULTADOS!AK36</f>
        <v>N/T</v>
      </c>
      <c r="BH19" s="146" t="str">
        <f ca="1">RESULTADOS!AL36</f>
        <v>N/T</v>
      </c>
      <c r="BI19" s="146" t="str">
        <f ca="1">RESULTADOS!AM36</f>
        <v>N/T</v>
      </c>
      <c r="BJ19" s="146" t="str">
        <f ca="1">RESULTADOS!AN36</f>
        <v>N/T</v>
      </c>
      <c r="BK19" s="146" t="str">
        <f ca="1">RESULTADOS!AO36</f>
        <v>N/D</v>
      </c>
      <c r="BL19" s="146" t="str">
        <f ca="1">RESULTADOS!AP36</f>
        <v>N/T</v>
      </c>
      <c r="BM19" s="146" t="str">
        <f ca="1">RESULTADOS!AQ36</f>
        <v>N/T</v>
      </c>
      <c r="BN19" s="146" t="str">
        <f ca="1">RESULTADOS!AR36</f>
        <v>N/D</v>
      </c>
      <c r="BO19" s="146" t="str">
        <f ca="1">RESULTADOS!AS36</f>
        <v>N/D</v>
      </c>
      <c r="BP19" s="146" t="str">
        <f ca="1">RESULTADOS!AT36</f>
        <v>N/T</v>
      </c>
      <c r="BQ19" s="146" t="str">
        <f ca="1">RESULTADOS!AU36</f>
        <v>N/T</v>
      </c>
      <c r="BR19" s="146" t="str">
        <f ca="1">RESULTADOS!AV36</f>
        <v>N/D</v>
      </c>
      <c r="BS19" s="146" t="str">
        <f ca="1">RESULTADOS!AW36</f>
        <v>N/T</v>
      </c>
      <c r="BT19" s="146" t="str">
        <f ca="1">RESULTADOS!AX36</f>
        <v>N/T</v>
      </c>
      <c r="BU19" s="146" t="str">
        <f ca="1">RESULTADOS!AY36</f>
        <v>N/D</v>
      </c>
      <c r="BV19" s="146" t="str">
        <f ca="1">RESULTADOS!AZ36</f>
        <v>N/T</v>
      </c>
      <c r="BW19" s="146" t="str">
        <f ca="1">RESULTADOS!BA36</f>
        <v>N/D</v>
      </c>
      <c r="BX19" s="146" t="str">
        <f ca="1">RESULTADOS!BB36</f>
        <v>N/T</v>
      </c>
      <c r="BY19" s="146" t="str">
        <f ca="1">RESULTADOS!BC36</f>
        <v>N/D</v>
      </c>
      <c r="BZ19" s="146" t="str">
        <f ca="1">RESULTADOS!BD36</f>
        <v>N/T</v>
      </c>
      <c r="CA19" s="146" t="str">
        <f ca="1">RESULTADOS!BE36</f>
        <v>N/T</v>
      </c>
      <c r="CB19" s="146" t="str">
        <f ca="1">RESULTADOS!BF36</f>
        <v>N/D</v>
      </c>
      <c r="CC19" s="146" t="str">
        <f ca="1">RESULTADOS!BG36</f>
        <v>N/D</v>
      </c>
      <c r="CD19" s="146" t="str">
        <f ca="1">RESULTADOS!BH36</f>
        <v>N/T</v>
      </c>
      <c r="CE19" s="146" t="str">
        <f ca="1">RESULTADOS!BI36</f>
        <v>N/D</v>
      </c>
      <c r="CF19" s="146" t="str">
        <f ca="1">RESULTADOS!BJ36</f>
        <v>N/D</v>
      </c>
      <c r="CG19" s="146" t="str">
        <f ca="1">RESULTADOS!BK36</f>
        <v>N/D</v>
      </c>
      <c r="CH19" s="146" t="str">
        <f ca="1">RESULTADOS!BL36</f>
        <v>Falla</v>
      </c>
      <c r="CI19" s="146" t="str">
        <f ca="1">RESULTADOS!BM36</f>
        <v>N/D</v>
      </c>
      <c r="CJ19" s="146" t="str">
        <f ca="1">RESULTADOS!BN36</f>
        <v>N/T</v>
      </c>
      <c r="CK19" s="146" t="str">
        <f ca="1">RESULTADOS!BO36</f>
        <v>N/D</v>
      </c>
      <c r="CL19" s="146" t="str">
        <f ca="1">RESULTADOS!BP36</f>
        <v>N/T</v>
      </c>
      <c r="CM19" s="146" t="str">
        <f ca="1">RESULTADOS!BQ36</f>
        <v>N/T</v>
      </c>
      <c r="CN19" s="146" t="str">
        <f ca="1">RESULTADOS!BR36</f>
        <v>N/D</v>
      </c>
      <c r="CO19" s="146" t="str">
        <f ca="1">RESULTADOS!BS36</f>
        <v>N/T</v>
      </c>
      <c r="CP19" s="146" t="str">
        <f ca="1">RESULTADOS!BT36</f>
        <v>N/D</v>
      </c>
      <c r="CQ19" s="146" t="str">
        <f ca="1">RESULTADOS!BU36</f>
        <v>N/D</v>
      </c>
      <c r="CR19" s="146" t="str">
        <f ca="1">RESULTADOS!BV36</f>
        <v>N/D</v>
      </c>
      <c r="CS19" s="146" t="str">
        <f ca="1">RESULTADOS!BW36</f>
        <v>N/D</v>
      </c>
      <c r="CT19" s="146" t="str">
        <f ca="1">RESULTADOS!BX36</f>
        <v>N/D</v>
      </c>
      <c r="CU19" s="146" t="str">
        <f ca="1">RESULTADOS!BY36</f>
        <v>N/T</v>
      </c>
      <c r="CV19" s="146" t="str">
        <f ca="1">RESULTADOS!BZ36</f>
        <v>N/T</v>
      </c>
      <c r="CW19" s="146" t="str">
        <f ca="1">RESULTADOS!CA36</f>
        <v>N/D</v>
      </c>
      <c r="CX19" s="146" t="str">
        <f ca="1">RESULTADOS!CB36</f>
        <v>N/T</v>
      </c>
      <c r="CY19" s="146" t="str">
        <f ca="1">RESULTADOS!CC36</f>
        <v>N/T</v>
      </c>
      <c r="CZ19" s="146" t="str">
        <f ca="1">RESULTADOS!CD36</f>
        <v>N/T</v>
      </c>
      <c r="DA19" s="146" t="str">
        <f ca="1">RESULTADOS!CE36</f>
        <v>N/D</v>
      </c>
      <c r="DB19" s="146" t="str">
        <f ca="1">RESULTADOS!CF36</f>
        <v>N/T</v>
      </c>
      <c r="DC19" s="146" t="str">
        <f ca="1">RESULTADOS!CG36</f>
        <v>N/T</v>
      </c>
      <c r="DD19" s="146" t="str">
        <f ca="1">RESULTADOS!CH36</f>
        <v>N/T</v>
      </c>
      <c r="DE19" s="146" t="str">
        <f ca="1">RESULTADOS!CI36</f>
        <v>N/T</v>
      </c>
      <c r="DF19" s="146" t="str">
        <f ca="1">RESULTADOS!CJ36</f>
        <v>N/T</v>
      </c>
      <c r="DG19" s="146" t="str">
        <f ca="1">RESULTADOS!CK36</f>
        <v>N/T</v>
      </c>
      <c r="DH19" s="146" t="str">
        <f ca="1">RESULTADOS!CL36</f>
        <v>N/T</v>
      </c>
      <c r="DI19" s="146" t="str">
        <f ca="1">RESULTADOS!CM36</f>
        <v>N/T</v>
      </c>
      <c r="DJ19" s="146" t="str">
        <f ca="1">RESULTADOS!CN36</f>
        <v>N/T</v>
      </c>
      <c r="DK19" s="146" t="str">
        <f ca="1">RESULTADOS!CO36</f>
        <v>N/T</v>
      </c>
      <c r="DL19" s="146" t="str">
        <f ca="1">RESULTADOS!CP36</f>
        <v>N/T</v>
      </c>
      <c r="DM19" s="146" t="str">
        <f ca="1">RESULTADOS!CQ36</f>
        <v>N/T</v>
      </c>
      <c r="DN19" s="146" t="str">
        <f ca="1">RESULTADOS!CR36</f>
        <v>N/T</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275</v>
      </c>
      <c r="D20" s="147" t="str">
        <f>'01.Definición de ámbito'!D50</f>
        <v>No</v>
      </c>
      <c r="K20" s="40" t="s">
        <v>31</v>
      </c>
      <c r="L20" s="148" t="n">
        <f ca="1">RESULTADOS!L10</f>
        <v>0.0</v>
      </c>
      <c r="M20" s="216" t="n">
        <f ca="1">RESULTADOS!M10</f>
        <v>0.0</v>
      </c>
      <c r="T20" s="148" t="n">
        <f>RESULTADOS!B37</f>
        <v>1.0</v>
      </c>
      <c r="U20" s="148" t="str">
        <f>RESULTADOS!C37</f>
        <v>Home - PortCastelló</v>
      </c>
      <c r="V20" s="148" t="str">
        <f t="shared" si="0"/>
        <v>Página web</v>
      </c>
      <c r="W20" s="148" t="str">
        <v/>
      </c>
      <c r="X20" s="148" t="str">
        <f>RESULTADOS!D37</f>
        <v>https://www.portcastello.com/</v>
      </c>
      <c r="Y20" s="148" t="n">
        <v>0.0</v>
      </c>
      <c r="Z20" s="237" t="str">
        <v>Ej. Imágenes, tablas, listas, multimedia, formularios, plantilla X, plantilla Y</v>
      </c>
      <c r="AA20" s="146" t="str">
        <f ca="1">RESULTADOS!E37</f>
        <v>N/T</v>
      </c>
      <c r="AB20" s="146" t="str">
        <f ca="1">RESULTADOS!F37</f>
        <v>N/T</v>
      </c>
      <c r="AC20" s="146" t="str">
        <f ca="1">RESULTADOS!G37</f>
        <v>N/T</v>
      </c>
      <c r="AD20" s="146" t="str">
        <f ca="1">RESULTADOS!H37</f>
        <v>N/T</v>
      </c>
      <c r="AE20" s="146" t="str">
        <f ca="1">RESULTADOS!I37</f>
        <v>N/T</v>
      </c>
      <c r="AF20" s="146" t="str">
        <f ca="1">RESULTADOS!J37</f>
        <v>N/T</v>
      </c>
      <c r="AG20" s="146" t="str">
        <f ca="1">RESULTADOS!K37</f>
        <v>N/T</v>
      </c>
      <c r="AH20" s="146" t="str">
        <f ca="1">RESULTADOS!L37</f>
        <v>N/T</v>
      </c>
      <c r="AI20" s="146" t="str">
        <f ca="1">RESULTADOS!M37</f>
        <v>N/T</v>
      </c>
      <c r="AJ20" s="146" t="str">
        <f ca="1">RESULTADOS!N37</f>
        <v>N/T</v>
      </c>
      <c r="AK20" s="146" t="str">
        <f ca="1">RESULTADOS!O37</f>
        <v>N/T</v>
      </c>
      <c r="AL20" s="146" t="str">
        <f ca="1">RESULTADOS!P37</f>
        <v>N/T</v>
      </c>
      <c r="AM20" s="146" t="str">
        <f ca="1">RESULTADOS!Q37</f>
        <v>N/T</v>
      </c>
      <c r="AN20" s="146" t="str">
        <f ca="1">RESULTADOS!R37</f>
        <v>N/T</v>
      </c>
      <c r="AO20" s="146" t="str">
        <f ca="1">RESULTADOS!S37</f>
        <v>N/T</v>
      </c>
      <c r="AP20" s="146" t="str">
        <f ca="1">RESULTADOS!T37</f>
        <v>N/T</v>
      </c>
      <c r="AQ20" s="146" t="str">
        <f ca="1">RESULTADOS!U37</f>
        <v>N/T</v>
      </c>
      <c r="AR20" s="146" t="str">
        <f ca="1">RESULTADOS!V37</f>
        <v>N/T</v>
      </c>
      <c r="AS20" s="146" t="str">
        <f ca="1">RESULTADOS!W37</f>
        <v>N/T</v>
      </c>
      <c r="AT20" s="146" t="str">
        <f ca="1">RESULTADOS!X37</f>
        <v>N/T</v>
      </c>
      <c r="AU20" s="146" t="str">
        <f ca="1">RESULTADOS!Y37</f>
        <v>N/T</v>
      </c>
      <c r="AV20" s="146" t="str">
        <f ca="1">RESULTADOS!Z37</f>
        <v>N/T</v>
      </c>
      <c r="AW20" s="146" t="str">
        <f ca="1">RESULTADOS!AA37</f>
        <v>N/T</v>
      </c>
      <c r="AX20" s="146" t="str">
        <f ca="1">RESULTADOS!AB37</f>
        <v>N/T</v>
      </c>
      <c r="AY20" s="146" t="str">
        <f ca="1">RESULTADOS!AC37</f>
        <v>N/T</v>
      </c>
      <c r="AZ20" s="146" t="str">
        <f ca="1">RESULTADOS!AD37</f>
        <v>N/T</v>
      </c>
      <c r="BA20" s="146" t="str">
        <f ca="1">RESULTADOS!AE37</f>
        <v>N/T</v>
      </c>
      <c r="BB20" s="146" t="str">
        <f ca="1">RESULTADOS!AF37</f>
        <v>N/T</v>
      </c>
      <c r="BC20" s="146" t="str">
        <f ca="1">RESULTADOS!AG37</f>
        <v>N/T</v>
      </c>
      <c r="BD20" s="146" t="str">
        <f ca="1">RESULTADOS!AH37</f>
        <v>N/T</v>
      </c>
      <c r="BE20" s="146" t="str">
        <f ca="1">RESULTADOS!AI37</f>
        <v>N/T</v>
      </c>
      <c r="BF20" s="146" t="str">
        <f ca="1">RESULTADOS!AJ37</f>
        <v>N/D</v>
      </c>
      <c r="BG20" s="146" t="str">
        <f ca="1">RESULTADOS!AK37</f>
        <v>N/T</v>
      </c>
      <c r="BH20" s="146" t="str">
        <f ca="1">RESULTADOS!AL37</f>
        <v>N/T</v>
      </c>
      <c r="BI20" s="146" t="str">
        <f ca="1">RESULTADOS!AM37</f>
        <v>N/T</v>
      </c>
      <c r="BJ20" s="146" t="str">
        <f ca="1">RESULTADOS!AN37</f>
        <v>N/T</v>
      </c>
      <c r="BK20" s="146" t="str">
        <f ca="1">RESULTADOS!AO37</f>
        <v>N/D</v>
      </c>
      <c r="BL20" s="146" t="str">
        <f ca="1">RESULTADOS!AP37</f>
        <v>N/T</v>
      </c>
      <c r="BM20" s="146" t="str">
        <f ca="1">RESULTADOS!AQ37</f>
        <v>N/T</v>
      </c>
      <c r="BN20" s="146" t="str">
        <f ca="1">RESULTADOS!AR37</f>
        <v>N/D</v>
      </c>
      <c r="BO20" s="146" t="str">
        <f ca="1">RESULTADOS!AS37</f>
        <v>N/D</v>
      </c>
      <c r="BP20" s="146" t="str">
        <f ca="1">RESULTADOS!AT37</f>
        <v>N/T</v>
      </c>
      <c r="BQ20" s="146" t="str">
        <f ca="1">RESULTADOS!AU37</f>
        <v>N/T</v>
      </c>
      <c r="BR20" s="146" t="str">
        <f ca="1">RESULTADOS!AV37</f>
        <v>N/D</v>
      </c>
      <c r="BS20" s="146" t="str">
        <f ca="1">RESULTADOS!AW37</f>
        <v>N/T</v>
      </c>
      <c r="BT20" s="146" t="str">
        <f ca="1">RESULTADOS!AX37</f>
        <v>N/T</v>
      </c>
      <c r="BU20" s="146" t="str">
        <f ca="1">RESULTADOS!AY37</f>
        <v>N/D</v>
      </c>
      <c r="BV20" s="146" t="str">
        <f ca="1">RESULTADOS!AZ37</f>
        <v>N/T</v>
      </c>
      <c r="BW20" s="146" t="str">
        <f ca="1">RESULTADOS!BA37</f>
        <v>N/D</v>
      </c>
      <c r="BX20" s="146" t="str">
        <f ca="1">RESULTADOS!BB37</f>
        <v>N/T</v>
      </c>
      <c r="BY20" s="146" t="str">
        <f ca="1">RESULTADOS!BC37</f>
        <v>N/D</v>
      </c>
      <c r="BZ20" s="146" t="str">
        <f ca="1">RESULTADOS!BD37</f>
        <v>N/T</v>
      </c>
      <c r="CA20" s="146" t="str">
        <f ca="1">RESULTADOS!BE37</f>
        <v>N/T</v>
      </c>
      <c r="CB20" s="146" t="str">
        <f ca="1">RESULTADOS!BF37</f>
        <v>N/D</v>
      </c>
      <c r="CC20" s="146" t="str">
        <f ca="1">RESULTADOS!BG37</f>
        <v>N/D</v>
      </c>
      <c r="CD20" s="146" t="str">
        <f ca="1">RESULTADOS!BH37</f>
        <v>N/T</v>
      </c>
      <c r="CE20" s="146" t="str">
        <f ca="1">RESULTADOS!BI37</f>
        <v>N/D</v>
      </c>
      <c r="CF20" s="146" t="str">
        <f ca="1">RESULTADOS!BJ37</f>
        <v>N/D</v>
      </c>
      <c r="CG20" s="146" t="str">
        <f ca="1">RESULTADOS!BK37</f>
        <v>N/D</v>
      </c>
      <c r="CH20" s="146" t="str">
        <f ca="1">RESULTADOS!BL37</f>
        <v>N/D</v>
      </c>
      <c r="CI20" s="146" t="str">
        <f ca="1">RESULTADOS!BM37</f>
        <v>N/D</v>
      </c>
      <c r="CJ20" s="146" t="str">
        <f ca="1">RESULTADOS!BN37</f>
        <v>N/T</v>
      </c>
      <c r="CK20" s="146" t="str">
        <f ca="1">RESULTADOS!BO37</f>
        <v>N/D</v>
      </c>
      <c r="CL20" s="146" t="str">
        <f ca="1">RESULTADOS!BP37</f>
        <v>N/T</v>
      </c>
      <c r="CM20" s="146" t="str">
        <f ca="1">RESULTADOS!BQ37</f>
        <v>N/T</v>
      </c>
      <c r="CN20" s="146" t="str">
        <f ca="1">RESULTADOS!BR37</f>
        <v>N/D</v>
      </c>
      <c r="CO20" s="146" t="str">
        <f ca="1">RESULTADOS!BS37</f>
        <v>N/T</v>
      </c>
      <c r="CP20" s="146" t="str">
        <f ca="1">RESULTADOS!BT37</f>
        <v>N/D</v>
      </c>
      <c r="CQ20" s="146" t="str">
        <f ca="1">RESULTADOS!BU37</f>
        <v>N/D</v>
      </c>
      <c r="CR20" s="146" t="str">
        <f ca="1">RESULTADOS!BV37</f>
        <v>N/D</v>
      </c>
      <c r="CS20" s="146" t="str">
        <f ca="1">RESULTADOS!BW37</f>
        <v>N/D</v>
      </c>
      <c r="CT20" s="146" t="str">
        <f ca="1">RESULTADOS!BX37</f>
        <v>N/D</v>
      </c>
      <c r="CU20" s="146" t="str">
        <f ca="1">RESULTADOS!BY37</f>
        <v>N/T</v>
      </c>
      <c r="CV20" s="146" t="str">
        <f ca="1">RESULTADOS!BZ37</f>
        <v>N/T</v>
      </c>
      <c r="CW20" s="146" t="str">
        <f ca="1">RESULTADOS!CA37</f>
        <v>N/D</v>
      </c>
      <c r="CX20" s="146" t="str">
        <f ca="1">RESULTADOS!CB37</f>
        <v>N/T</v>
      </c>
      <c r="CY20" s="146" t="str">
        <f ca="1">RESULTADOS!CC37</f>
        <v>N/T</v>
      </c>
      <c r="CZ20" s="146" t="str">
        <f ca="1">RESULTADOS!CD37</f>
        <v>N/T</v>
      </c>
      <c r="DA20" s="146" t="str">
        <f ca="1">RESULTADOS!CE37</f>
        <v>N/D</v>
      </c>
      <c r="DB20" s="146" t="str">
        <f ca="1">RESULTADOS!CF37</f>
        <v>N/T</v>
      </c>
      <c r="DC20" s="146" t="str">
        <f ca="1">RESULTADOS!CG37</f>
        <v>N/T</v>
      </c>
      <c r="DD20" s="146" t="str">
        <f ca="1">RESULTADOS!CH37</f>
        <v>N/T</v>
      </c>
      <c r="DE20" s="146" t="str">
        <f ca="1">RESULTADOS!CI37</f>
        <v>N/T</v>
      </c>
      <c r="DF20" s="146" t="str">
        <f ca="1">RESULTADOS!CJ37</f>
        <v>N/T</v>
      </c>
      <c r="DG20" s="146" t="str">
        <f ca="1">RESULTADOS!CK37</f>
        <v>N/T</v>
      </c>
      <c r="DH20" s="146" t="str">
        <f ca="1">RESULTADOS!CL37</f>
        <v>N/T</v>
      </c>
      <c r="DI20" s="146" t="str">
        <f ca="1">RESULTADOS!CM37</f>
        <v>N/T</v>
      </c>
      <c r="DJ20" s="146" t="str">
        <f ca="1">RESULTADOS!CN37</f>
        <v>N/T</v>
      </c>
      <c r="DK20" s="146" t="str">
        <f ca="1">RESULTADOS!CO37</f>
        <v>N/T</v>
      </c>
      <c r="DL20" s="146" t="str">
        <f ca="1">RESULTADOS!CP37</f>
        <v>N/T</v>
      </c>
      <c r="DM20" s="146" t="str">
        <f ca="1">RESULTADOS!CQ37</f>
        <v>N/T</v>
      </c>
      <c r="DN20" s="146" t="str">
        <f ca="1">RESULTADOS!CR37</f>
        <v>N/T</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48</v>
      </c>
      <c r="L21" s="148" t="n">
        <f ca="1">RESULTADOS!L11</f>
        <v>5.0</v>
      </c>
      <c r="M21" s="216" t="n">
        <f ca="1">RESULTADOS!M11</f>
        <v>0.01824817518248175</v>
      </c>
      <c r="T21" s="148" t="n">
        <f>RESULTADOS!B38</f>
        <v>1.0</v>
      </c>
      <c r="U21" s="148" t="str">
        <f>RESULTADOS!C38</f>
        <v>Home - PortCastelló</v>
      </c>
      <c r="V21" s="148" t="str">
        <f t="shared" si="0"/>
        <v>Página web</v>
      </c>
      <c r="W21" s="148" t="str">
        <v/>
      </c>
      <c r="X21" s="148" t="str">
        <f>RESULTADOS!D38</f>
        <v>https://www.portcastello.com/</v>
      </c>
      <c r="Y21" s="148" t="n">
        <v>0.0</v>
      </c>
      <c r="Z21" s="237" t="str">
        <v>Ej. Imágenes, tablas, listas, multimedia, formularios, plantilla X, plantilla Y</v>
      </c>
      <c r="AA21" s="146" t="str">
        <f ca="1">RESULTADOS!E38</f>
        <v>N/T</v>
      </c>
      <c r="AB21" s="146" t="str">
        <f ca="1">RESULTADOS!F38</f>
        <v>N/T</v>
      </c>
      <c r="AC21" s="146" t="str">
        <f ca="1">RESULTADOS!G38</f>
        <v>N/T</v>
      </c>
      <c r="AD21" s="146" t="str">
        <f ca="1">RESULTADOS!H38</f>
        <v>N/T</v>
      </c>
      <c r="AE21" s="146" t="str">
        <f ca="1">RESULTADOS!I38</f>
        <v>N/T</v>
      </c>
      <c r="AF21" s="146" t="str">
        <f ca="1">RESULTADOS!J38</f>
        <v>N/T</v>
      </c>
      <c r="AG21" s="146" t="str">
        <f ca="1">RESULTADOS!K38</f>
        <v>N/T</v>
      </c>
      <c r="AH21" s="146" t="str">
        <f ca="1">RESULTADOS!L38</f>
        <v>N/T</v>
      </c>
      <c r="AI21" s="146" t="str">
        <f ca="1">RESULTADOS!M38</f>
        <v>N/T</v>
      </c>
      <c r="AJ21" s="146" t="str">
        <f ca="1">RESULTADOS!N38</f>
        <v>N/T</v>
      </c>
      <c r="AK21" s="146" t="str">
        <f ca="1">RESULTADOS!O38</f>
        <v>N/T</v>
      </c>
      <c r="AL21" s="146" t="str">
        <f ca="1">RESULTADOS!P38</f>
        <v>N/T</v>
      </c>
      <c r="AM21" s="146" t="str">
        <f ca="1">RESULTADOS!Q38</f>
        <v>N/T</v>
      </c>
      <c r="AN21" s="146" t="str">
        <f ca="1">RESULTADOS!R38</f>
        <v>N/T</v>
      </c>
      <c r="AO21" s="146" t="str">
        <f ca="1">RESULTADOS!S38</f>
        <v>N/T</v>
      </c>
      <c r="AP21" s="146" t="str">
        <f ca="1">RESULTADOS!T38</f>
        <v>N/T</v>
      </c>
      <c r="AQ21" s="146" t="str">
        <f ca="1">RESULTADOS!U38</f>
        <v>N/T</v>
      </c>
      <c r="AR21" s="146" t="str">
        <f ca="1">RESULTADOS!V38</f>
        <v>N/T</v>
      </c>
      <c r="AS21" s="146" t="str">
        <f ca="1">RESULTADOS!W38</f>
        <v>N/T</v>
      </c>
      <c r="AT21" s="146" t="str">
        <f ca="1">RESULTADOS!X38</f>
        <v>N/T</v>
      </c>
      <c r="AU21" s="146" t="str">
        <f ca="1">RESULTADOS!Y38</f>
        <v>N/T</v>
      </c>
      <c r="AV21" s="146" t="str">
        <f ca="1">RESULTADOS!Z38</f>
        <v>N/T</v>
      </c>
      <c r="AW21" s="146" t="str">
        <f ca="1">RESULTADOS!AA38</f>
        <v>N/T</v>
      </c>
      <c r="AX21" s="146" t="str">
        <f ca="1">RESULTADOS!AB38</f>
        <v>N/T</v>
      </c>
      <c r="AY21" s="146" t="str">
        <f ca="1">RESULTADOS!AC38</f>
        <v>N/T</v>
      </c>
      <c r="AZ21" s="146" t="str">
        <f ca="1">RESULTADOS!AD38</f>
        <v>N/T</v>
      </c>
      <c r="BA21" s="146" t="str">
        <f ca="1">RESULTADOS!AE38</f>
        <v>N/T</v>
      </c>
      <c r="BB21" s="146" t="str">
        <f ca="1">RESULTADOS!AF38</f>
        <v>N/T</v>
      </c>
      <c r="BC21" s="146" t="str">
        <f ca="1">RESULTADOS!AG38</f>
        <v>N/T</v>
      </c>
      <c r="BD21" s="146" t="str">
        <f ca="1">RESULTADOS!AH38</f>
        <v>N/T</v>
      </c>
      <c r="BE21" s="146" t="str">
        <f ca="1">RESULTADOS!AI38</f>
        <v>N/T</v>
      </c>
      <c r="BF21" s="146" t="str">
        <f ca="1">RESULTADOS!AJ38</f>
        <v>N/D</v>
      </c>
      <c r="BG21" s="146" t="str">
        <f ca="1">RESULTADOS!AK38</f>
        <v>N/T</v>
      </c>
      <c r="BH21" s="146" t="str">
        <f ca="1">RESULTADOS!AL38</f>
        <v>N/T</v>
      </c>
      <c r="BI21" s="146" t="str">
        <f ca="1">RESULTADOS!AM38</f>
        <v>N/T</v>
      </c>
      <c r="BJ21" s="146" t="str">
        <f ca="1">RESULTADOS!AN38</f>
        <v>N/T</v>
      </c>
      <c r="BK21" s="146" t="str">
        <f ca="1">RESULTADOS!AO38</f>
        <v>N/D</v>
      </c>
      <c r="BL21" s="146" t="str">
        <f ca="1">RESULTADOS!AP38</f>
        <v>N/T</v>
      </c>
      <c r="BM21" s="146" t="str">
        <f ca="1">RESULTADOS!AQ38</f>
        <v>N/T</v>
      </c>
      <c r="BN21" s="146" t="str">
        <f ca="1">RESULTADOS!AR38</f>
        <v>N/D</v>
      </c>
      <c r="BO21" s="146" t="str">
        <f ca="1">RESULTADOS!AS38</f>
        <v>N/D</v>
      </c>
      <c r="BP21" s="146" t="str">
        <f ca="1">RESULTADOS!AT38</f>
        <v>N/T</v>
      </c>
      <c r="BQ21" s="146" t="str">
        <f ca="1">RESULTADOS!AU38</f>
        <v>N/T</v>
      </c>
      <c r="BR21" s="146" t="str">
        <f ca="1">RESULTADOS!AV38</f>
        <v>N/D</v>
      </c>
      <c r="BS21" s="146" t="str">
        <f ca="1">RESULTADOS!AW38</f>
        <v>N/T</v>
      </c>
      <c r="BT21" s="146" t="str">
        <f ca="1">RESULTADOS!AX38</f>
        <v>N/T</v>
      </c>
      <c r="BU21" s="146" t="str">
        <f ca="1">RESULTADOS!AY38</f>
        <v>N/D</v>
      </c>
      <c r="BV21" s="146" t="str">
        <f ca="1">RESULTADOS!AZ38</f>
        <v>N/T</v>
      </c>
      <c r="BW21" s="146" t="str">
        <f ca="1">RESULTADOS!BA38</f>
        <v>N/D</v>
      </c>
      <c r="BX21" s="146" t="str">
        <f ca="1">RESULTADOS!BB38</f>
        <v>N/T</v>
      </c>
      <c r="BY21" s="146" t="str">
        <f ca="1">RESULTADOS!BC38</f>
        <v>N/D</v>
      </c>
      <c r="BZ21" s="146" t="str">
        <f ca="1">RESULTADOS!BD38</f>
        <v>N/T</v>
      </c>
      <c r="CA21" s="146" t="str">
        <f ca="1">RESULTADOS!BE38</f>
        <v>N/T</v>
      </c>
      <c r="CB21" s="146" t="str">
        <f ca="1">RESULTADOS!BF38</f>
        <v>N/D</v>
      </c>
      <c r="CC21" s="146" t="str">
        <f ca="1">RESULTADOS!BG38</f>
        <v>N/D</v>
      </c>
      <c r="CD21" s="146" t="str">
        <f ca="1">RESULTADOS!BH38</f>
        <v>N/T</v>
      </c>
      <c r="CE21" s="146" t="str">
        <f ca="1">RESULTADOS!BI38</f>
        <v>N/D</v>
      </c>
      <c r="CF21" s="146" t="str">
        <f ca="1">RESULTADOS!BJ38</f>
        <v>N/D</v>
      </c>
      <c r="CG21" s="146" t="str">
        <f ca="1">RESULTADOS!BK38</f>
        <v>N/D</v>
      </c>
      <c r="CH21" s="146" t="str">
        <f ca="1">RESULTADOS!BL38</f>
        <v>N/D</v>
      </c>
      <c r="CI21" s="146" t="str">
        <f ca="1">RESULTADOS!BM38</f>
        <v>N/D</v>
      </c>
      <c r="CJ21" s="146" t="str">
        <f ca="1">RESULTADOS!BN38</f>
        <v>N/T</v>
      </c>
      <c r="CK21" s="146" t="str">
        <f ca="1">RESULTADOS!BO38</f>
        <v>N/D</v>
      </c>
      <c r="CL21" s="146" t="str">
        <f ca="1">RESULTADOS!BP38</f>
        <v>N/T</v>
      </c>
      <c r="CM21" s="146" t="str">
        <f ca="1">RESULTADOS!BQ38</f>
        <v>N/T</v>
      </c>
      <c r="CN21" s="146" t="str">
        <f ca="1">RESULTADOS!BR38</f>
        <v>N/D</v>
      </c>
      <c r="CO21" s="146" t="str">
        <f ca="1">RESULTADOS!BS38</f>
        <v>N/T</v>
      </c>
      <c r="CP21" s="146" t="str">
        <f ca="1">RESULTADOS!BT38</f>
        <v>N/D</v>
      </c>
      <c r="CQ21" s="146" t="str">
        <f ca="1">RESULTADOS!BU38</f>
        <v>N/D</v>
      </c>
      <c r="CR21" s="146" t="str">
        <f ca="1">RESULTADOS!BV38</f>
        <v>N/D</v>
      </c>
      <c r="CS21" s="146" t="str">
        <f ca="1">RESULTADOS!BW38</f>
        <v>N/D</v>
      </c>
      <c r="CT21" s="146" t="str">
        <f ca="1">RESULTADOS!BX38</f>
        <v>N/D</v>
      </c>
      <c r="CU21" s="146" t="str">
        <f ca="1">RESULTADOS!BY38</f>
        <v>N/T</v>
      </c>
      <c r="CV21" s="146" t="str">
        <f ca="1">RESULTADOS!BZ38</f>
        <v>N/T</v>
      </c>
      <c r="CW21" s="146" t="str">
        <f ca="1">RESULTADOS!CA38</f>
        <v>N/D</v>
      </c>
      <c r="CX21" s="146" t="str">
        <f ca="1">RESULTADOS!CB38</f>
        <v>N/T</v>
      </c>
      <c r="CY21" s="146" t="str">
        <f ca="1">RESULTADOS!CC38</f>
        <v>N/T</v>
      </c>
      <c r="CZ21" s="146" t="str">
        <f ca="1">RESULTADOS!CD38</f>
        <v>N/T</v>
      </c>
      <c r="DA21" s="146" t="str">
        <f ca="1">RESULTADOS!CE38</f>
        <v>N/D</v>
      </c>
      <c r="DB21" s="146" t="str">
        <f ca="1">RESULTADOS!CF38</f>
        <v>N/T</v>
      </c>
      <c r="DC21" s="146" t="str">
        <f ca="1">RESULTADOS!CG38</f>
        <v>N/T</v>
      </c>
      <c r="DD21" s="146" t="str">
        <f ca="1">RESULTADOS!CH38</f>
        <v>N/T</v>
      </c>
      <c r="DE21" s="146" t="str">
        <f ca="1">RESULTADOS!CI38</f>
        <v>N/T</v>
      </c>
      <c r="DF21" s="146" t="str">
        <f ca="1">RESULTADOS!CJ38</f>
        <v>N/T</v>
      </c>
      <c r="DG21" s="146" t="str">
        <f ca="1">RESULTADOS!CK38</f>
        <v>N/T</v>
      </c>
      <c r="DH21" s="146" t="str">
        <f ca="1">RESULTADOS!CL38</f>
        <v>N/T</v>
      </c>
      <c r="DI21" s="146" t="str">
        <f ca="1">RESULTADOS!CM38</f>
        <v>N/T</v>
      </c>
      <c r="DJ21" s="146" t="str">
        <f ca="1">RESULTADOS!CN38</f>
        <v>N/T</v>
      </c>
      <c r="DK21" s="146" t="str">
        <f ca="1">RESULTADOS!CO38</f>
        <v>N/T</v>
      </c>
      <c r="DL21" s="146" t="str">
        <f ca="1">RESULTADOS!CP38</f>
        <v>N/T</v>
      </c>
      <c r="DM21" s="146" t="str">
        <f ca="1">RESULTADOS!CQ38</f>
        <v>N/T</v>
      </c>
      <c r="DN21" s="146" t="str">
        <f ca="1">RESULTADOS!CR38</f>
        <v>N/T</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t="n">
        <f>RESULTADOS!B39</f>
        <v>1.0</v>
      </c>
      <c r="U22" s="148" t="str">
        <f>RESULTADOS!C39</f>
        <v>Home - PortCastelló</v>
      </c>
      <c r="V22" s="148" t="str">
        <f t="shared" si="0"/>
        <v>Página web</v>
      </c>
      <c r="W22" s="148" t="str">
        <v/>
      </c>
      <c r="X22" s="148" t="str">
        <f>RESULTADOS!D39</f>
        <v>https://www.portcastello.com/</v>
      </c>
      <c r="Y22" s="148" t="n">
        <v>0.0</v>
      </c>
      <c r="Z22" s="237" t="str">
        <v>Ej. Imágenes, tablas, listas, multimedia, formularios, plantilla X, plantilla Y</v>
      </c>
      <c r="AA22" s="146" t="str">
        <f ca="1">RESULTADOS!E39</f>
        <v>N/T</v>
      </c>
      <c r="AB22" s="146" t="str">
        <f ca="1">RESULTADOS!F39</f>
        <v>N/T</v>
      </c>
      <c r="AC22" s="146" t="str">
        <f ca="1">RESULTADOS!G39</f>
        <v>N/T</v>
      </c>
      <c r="AD22" s="146" t="str">
        <f ca="1">RESULTADOS!H39</f>
        <v>N/T</v>
      </c>
      <c r="AE22" s="146" t="str">
        <f ca="1">RESULTADOS!I39</f>
        <v>N/T</v>
      </c>
      <c r="AF22" s="146" t="str">
        <f ca="1">RESULTADOS!J39</f>
        <v>N/T</v>
      </c>
      <c r="AG22" s="146" t="str">
        <f ca="1">RESULTADOS!K39</f>
        <v>N/T</v>
      </c>
      <c r="AH22" s="146" t="str">
        <f ca="1">RESULTADOS!L39</f>
        <v>N/T</v>
      </c>
      <c r="AI22" s="146" t="str">
        <f ca="1">RESULTADOS!M39</f>
        <v>N/T</v>
      </c>
      <c r="AJ22" s="146" t="str">
        <f ca="1">RESULTADOS!N39</f>
        <v>N/T</v>
      </c>
      <c r="AK22" s="146" t="str">
        <f ca="1">RESULTADOS!O39</f>
        <v>N/T</v>
      </c>
      <c r="AL22" s="146" t="str">
        <f ca="1">RESULTADOS!P39</f>
        <v>N/T</v>
      </c>
      <c r="AM22" s="146" t="str">
        <f ca="1">RESULTADOS!Q39</f>
        <v>N/T</v>
      </c>
      <c r="AN22" s="146" t="str">
        <f ca="1">RESULTADOS!R39</f>
        <v>N/T</v>
      </c>
      <c r="AO22" s="146" t="str">
        <f ca="1">RESULTADOS!S39</f>
        <v>N/T</v>
      </c>
      <c r="AP22" s="146" t="str">
        <f ca="1">RESULTADOS!T39</f>
        <v>N/T</v>
      </c>
      <c r="AQ22" s="146" t="str">
        <f ca="1">RESULTADOS!U39</f>
        <v>N/T</v>
      </c>
      <c r="AR22" s="146" t="str">
        <f ca="1">RESULTADOS!V39</f>
        <v>N/T</v>
      </c>
      <c r="AS22" s="146" t="str">
        <f ca="1">RESULTADOS!W39</f>
        <v>N/T</v>
      </c>
      <c r="AT22" s="146" t="str">
        <f ca="1">RESULTADOS!X39</f>
        <v>N/T</v>
      </c>
      <c r="AU22" s="146" t="str">
        <f ca="1">RESULTADOS!Y39</f>
        <v>N/T</v>
      </c>
      <c r="AV22" s="146" t="str">
        <f ca="1">RESULTADOS!Z39</f>
        <v>N/T</v>
      </c>
      <c r="AW22" s="146" t="str">
        <f ca="1">RESULTADOS!AA39</f>
        <v>N/T</v>
      </c>
      <c r="AX22" s="146" t="str">
        <f ca="1">RESULTADOS!AB39</f>
        <v>N/T</v>
      </c>
      <c r="AY22" s="146" t="str">
        <f ca="1">RESULTADOS!AC39</f>
        <v>N/T</v>
      </c>
      <c r="AZ22" s="146" t="str">
        <f ca="1">RESULTADOS!AD39</f>
        <v>N/T</v>
      </c>
      <c r="BA22" s="146" t="str">
        <f ca="1">RESULTADOS!AE39</f>
        <v>N/T</v>
      </c>
      <c r="BB22" s="146" t="str">
        <f ca="1">RESULTADOS!AF39</f>
        <v>N/T</v>
      </c>
      <c r="BC22" s="146" t="str">
        <f ca="1">RESULTADOS!AG39</f>
        <v>N/T</v>
      </c>
      <c r="BD22" s="146" t="str">
        <f ca="1">RESULTADOS!AH39</f>
        <v>N/T</v>
      </c>
      <c r="BE22" s="146" t="str">
        <f ca="1">RESULTADOS!AI39</f>
        <v>N/T</v>
      </c>
      <c r="BF22" s="146" t="str">
        <f ca="1">RESULTADOS!AJ39</f>
        <v>N/D</v>
      </c>
      <c r="BG22" s="146" t="str">
        <f ca="1">RESULTADOS!AK39</f>
        <v>N/T</v>
      </c>
      <c r="BH22" s="146" t="str">
        <f ca="1">RESULTADOS!AL39</f>
        <v>N/T</v>
      </c>
      <c r="BI22" s="146" t="str">
        <f ca="1">RESULTADOS!AM39</f>
        <v>N/T</v>
      </c>
      <c r="BJ22" s="146" t="str">
        <f ca="1">RESULTADOS!AN39</f>
        <v>N/T</v>
      </c>
      <c r="BK22" s="146" t="str">
        <f ca="1">RESULTADOS!AO39</f>
        <v>N/D</v>
      </c>
      <c r="BL22" s="146" t="str">
        <f ca="1">RESULTADOS!AP39</f>
        <v>N/T</v>
      </c>
      <c r="BM22" s="146" t="str">
        <f ca="1">RESULTADOS!AQ39</f>
        <v>N/T</v>
      </c>
      <c r="BN22" s="146" t="str">
        <f ca="1">RESULTADOS!AR39</f>
        <v>N/D</v>
      </c>
      <c r="BO22" s="146" t="str">
        <f ca="1">RESULTADOS!AS39</f>
        <v>N/D</v>
      </c>
      <c r="BP22" s="146" t="str">
        <f ca="1">RESULTADOS!AT39</f>
        <v>N/T</v>
      </c>
      <c r="BQ22" s="146" t="str">
        <f ca="1">RESULTADOS!AU39</f>
        <v>N/T</v>
      </c>
      <c r="BR22" s="146" t="str">
        <f ca="1">RESULTADOS!AV39</f>
        <v>N/D</v>
      </c>
      <c r="BS22" s="146" t="str">
        <f ca="1">RESULTADOS!AW39</f>
        <v>N/T</v>
      </c>
      <c r="BT22" s="146" t="str">
        <f ca="1">RESULTADOS!AX39</f>
        <v>N/T</v>
      </c>
      <c r="BU22" s="146" t="str">
        <f ca="1">RESULTADOS!AY39</f>
        <v>N/D</v>
      </c>
      <c r="BV22" s="146" t="str">
        <f ca="1">RESULTADOS!AZ39</f>
        <v>N/T</v>
      </c>
      <c r="BW22" s="146" t="str">
        <f ca="1">RESULTADOS!BA39</f>
        <v>N/D</v>
      </c>
      <c r="BX22" s="146" t="str">
        <f ca="1">RESULTADOS!BB39</f>
        <v>N/T</v>
      </c>
      <c r="BY22" s="146" t="str">
        <f ca="1">RESULTADOS!BC39</f>
        <v>N/D</v>
      </c>
      <c r="BZ22" s="146" t="str">
        <f ca="1">RESULTADOS!BD39</f>
        <v>N/T</v>
      </c>
      <c r="CA22" s="146" t="str">
        <f ca="1">RESULTADOS!BE39</f>
        <v>N/T</v>
      </c>
      <c r="CB22" s="146" t="str">
        <f ca="1">RESULTADOS!BF39</f>
        <v>N/D</v>
      </c>
      <c r="CC22" s="146" t="str">
        <f ca="1">RESULTADOS!BG39</f>
        <v>N/D</v>
      </c>
      <c r="CD22" s="146" t="str">
        <f ca="1">RESULTADOS!BH39</f>
        <v>N/T</v>
      </c>
      <c r="CE22" s="146" t="str">
        <f ca="1">RESULTADOS!BI39</f>
        <v>N/D</v>
      </c>
      <c r="CF22" s="146" t="str">
        <f ca="1">RESULTADOS!BJ39</f>
        <v>N/D</v>
      </c>
      <c r="CG22" s="146" t="str">
        <f ca="1">RESULTADOS!BK39</f>
        <v>N/D</v>
      </c>
      <c r="CH22" s="146" t="str">
        <f ca="1">RESULTADOS!BL39</f>
        <v>N/D</v>
      </c>
      <c r="CI22" s="146" t="str">
        <f ca="1">RESULTADOS!BM39</f>
        <v>N/D</v>
      </c>
      <c r="CJ22" s="146" t="str">
        <f ca="1">RESULTADOS!BN39</f>
        <v>N/T</v>
      </c>
      <c r="CK22" s="146" t="str">
        <f ca="1">RESULTADOS!BO39</f>
        <v>N/D</v>
      </c>
      <c r="CL22" s="146" t="str">
        <f ca="1">RESULTADOS!BP39</f>
        <v>N/T</v>
      </c>
      <c r="CM22" s="146" t="str">
        <f ca="1">RESULTADOS!BQ39</f>
        <v>N/T</v>
      </c>
      <c r="CN22" s="146" t="str">
        <f ca="1">RESULTADOS!BR39</f>
        <v>N/D</v>
      </c>
      <c r="CO22" s="146" t="str">
        <f ca="1">RESULTADOS!BS39</f>
        <v>N/T</v>
      </c>
      <c r="CP22" s="146" t="str">
        <f ca="1">RESULTADOS!BT39</f>
        <v>N/D</v>
      </c>
      <c r="CQ22" s="146" t="str">
        <f ca="1">RESULTADOS!BU39</f>
        <v>N/D</v>
      </c>
      <c r="CR22" s="146" t="str">
        <f ca="1">RESULTADOS!BV39</f>
        <v>N/D</v>
      </c>
      <c r="CS22" s="146" t="str">
        <f ca="1">RESULTADOS!BW39</f>
        <v>N/D</v>
      </c>
      <c r="CT22" s="146" t="str">
        <f ca="1">RESULTADOS!BX39</f>
        <v>N/D</v>
      </c>
      <c r="CU22" s="146" t="str">
        <f ca="1">RESULTADOS!BY39</f>
        <v>N/T</v>
      </c>
      <c r="CV22" s="146" t="str">
        <f ca="1">RESULTADOS!BZ39</f>
        <v>N/T</v>
      </c>
      <c r="CW22" s="146" t="str">
        <f ca="1">RESULTADOS!CA39</f>
        <v>N/D</v>
      </c>
      <c r="CX22" s="146" t="str">
        <f ca="1">RESULTADOS!CB39</f>
        <v>N/T</v>
      </c>
      <c r="CY22" s="146" t="str">
        <f ca="1">RESULTADOS!CC39</f>
        <v>N/T</v>
      </c>
      <c r="CZ22" s="146" t="str">
        <f ca="1">RESULTADOS!CD39</f>
        <v>N/T</v>
      </c>
      <c r="DA22" s="146" t="str">
        <f ca="1">RESULTADOS!CE39</f>
        <v>N/D</v>
      </c>
      <c r="DB22" s="146" t="str">
        <f ca="1">RESULTADOS!CF39</f>
        <v>N/T</v>
      </c>
      <c r="DC22" s="146" t="str">
        <f ca="1">RESULTADOS!CG39</f>
        <v>N/T</v>
      </c>
      <c r="DD22" s="146" t="str">
        <f ca="1">RESULTADOS!CH39</f>
        <v>N/T</v>
      </c>
      <c r="DE22" s="146" t="str">
        <f ca="1">RESULTADOS!CI39</f>
        <v>N/T</v>
      </c>
      <c r="DF22" s="146" t="str">
        <f ca="1">RESULTADOS!CJ39</f>
        <v>N/T</v>
      </c>
      <c r="DG22" s="146" t="str">
        <f ca="1">RESULTADOS!CK39</f>
        <v>N/T</v>
      </c>
      <c r="DH22" s="146" t="str">
        <f ca="1">RESULTADOS!CL39</f>
        <v>N/T</v>
      </c>
      <c r="DI22" s="146" t="str">
        <f ca="1">RESULTADOS!CM39</f>
        <v>N/T</v>
      </c>
      <c r="DJ22" s="146" t="str">
        <f ca="1">RESULTADOS!CN39</f>
        <v>N/T</v>
      </c>
      <c r="DK22" s="146" t="str">
        <f ca="1">RESULTADOS!CO39</f>
        <v>N/T</v>
      </c>
      <c r="DL22" s="146" t="str">
        <f ca="1">RESULTADOS!CP39</f>
        <v>N/T</v>
      </c>
      <c r="DM22" s="146" t="str">
        <f ca="1">RESULTADOS!CQ39</f>
        <v>N/T</v>
      </c>
      <c r="DN22" s="146" t="str">
        <f ca="1">RESULTADOS!CR39</f>
        <v>N/T</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141</v>
      </c>
      <c r="T23" s="148" t="n">
        <f>RESULTADOS!B40</f>
        <v>1.0</v>
      </c>
      <c r="U23" s="148" t="str">
        <f>RESULTADOS!C40</f>
        <v>Home - PortCastelló</v>
      </c>
      <c r="V23" s="148" t="str">
        <f t="shared" si="0"/>
        <v>Página web</v>
      </c>
      <c r="W23" s="148" t="str">
        <v/>
      </c>
      <c r="X23" s="148" t="str">
        <f>RESULTADOS!D40</f>
        <v>https://www.portcastello.com/</v>
      </c>
      <c r="Y23" s="148" t="n">
        <v>0.0</v>
      </c>
      <c r="Z23" s="237" t="str">
        <v>Ej. Imágenes, tablas, listas, multimedia, formularios, plantilla X, plantilla Y</v>
      </c>
      <c r="AA23" s="146" t="str">
        <f ca="1">RESULTADOS!E40</f>
        <v>N/T</v>
      </c>
      <c r="AB23" s="146" t="str">
        <f ca="1">RESULTADOS!F40</f>
        <v>N/T</v>
      </c>
      <c r="AC23" s="146" t="str">
        <f ca="1">RESULTADOS!G40</f>
        <v>N/T</v>
      </c>
      <c r="AD23" s="146" t="str">
        <f ca="1">RESULTADOS!H40</f>
        <v>N/T</v>
      </c>
      <c r="AE23" s="146" t="str">
        <f ca="1">RESULTADOS!I40</f>
        <v>N/T</v>
      </c>
      <c r="AF23" s="146" t="str">
        <f ca="1">RESULTADOS!J40</f>
        <v>N/T</v>
      </c>
      <c r="AG23" s="146" t="str">
        <f ca="1">RESULTADOS!K40</f>
        <v>N/T</v>
      </c>
      <c r="AH23" s="146" t="str">
        <f ca="1">RESULTADOS!L40</f>
        <v>N/T</v>
      </c>
      <c r="AI23" s="146" t="str">
        <f ca="1">RESULTADOS!M40</f>
        <v>N/T</v>
      </c>
      <c r="AJ23" s="146" t="str">
        <f ca="1">RESULTADOS!N40</f>
        <v>N/T</v>
      </c>
      <c r="AK23" s="146" t="str">
        <f ca="1">RESULTADOS!O40</f>
        <v>N/T</v>
      </c>
      <c r="AL23" s="146" t="str">
        <f ca="1">RESULTADOS!P40</f>
        <v>N/T</v>
      </c>
      <c r="AM23" s="146" t="str">
        <f ca="1">RESULTADOS!Q40</f>
        <v>N/T</v>
      </c>
      <c r="AN23" s="146" t="str">
        <f ca="1">RESULTADOS!R40</f>
        <v>N/T</v>
      </c>
      <c r="AO23" s="146" t="str">
        <f ca="1">RESULTADOS!S40</f>
        <v>N/T</v>
      </c>
      <c r="AP23" s="146" t="str">
        <f ca="1">RESULTADOS!T40</f>
        <v>N/T</v>
      </c>
      <c r="AQ23" s="146" t="str">
        <f ca="1">RESULTADOS!U40</f>
        <v>N/T</v>
      </c>
      <c r="AR23" s="146" t="str">
        <f ca="1">RESULTADOS!V40</f>
        <v>N/T</v>
      </c>
      <c r="AS23" s="146" t="str">
        <f ca="1">RESULTADOS!W40</f>
        <v>N/T</v>
      </c>
      <c r="AT23" s="146" t="str">
        <f ca="1">RESULTADOS!X40</f>
        <v>N/T</v>
      </c>
      <c r="AU23" s="146" t="str">
        <f ca="1">RESULTADOS!Y40</f>
        <v>N/T</v>
      </c>
      <c r="AV23" s="146" t="str">
        <f ca="1">RESULTADOS!Z40</f>
        <v>N/T</v>
      </c>
      <c r="AW23" s="146" t="str">
        <f ca="1">RESULTADOS!AA40</f>
        <v>N/T</v>
      </c>
      <c r="AX23" s="146" t="str">
        <f ca="1">RESULTADOS!AB40</f>
        <v>N/T</v>
      </c>
      <c r="AY23" s="146" t="str">
        <f ca="1">RESULTADOS!AC40</f>
        <v>N/T</v>
      </c>
      <c r="AZ23" s="146" t="str">
        <f ca="1">RESULTADOS!AD40</f>
        <v>N/T</v>
      </c>
      <c r="BA23" s="146" t="str">
        <f ca="1">RESULTADOS!AE40</f>
        <v>N/T</v>
      </c>
      <c r="BB23" s="146" t="str">
        <f ca="1">RESULTADOS!AF40</f>
        <v>N/T</v>
      </c>
      <c r="BC23" s="146" t="str">
        <f ca="1">RESULTADOS!AG40</f>
        <v>N/T</v>
      </c>
      <c r="BD23" s="146" t="str">
        <f ca="1">RESULTADOS!AH40</f>
        <v>N/T</v>
      </c>
      <c r="BE23" s="146" t="str">
        <f ca="1">RESULTADOS!AI40</f>
        <v>N/T</v>
      </c>
      <c r="BF23" s="146" t="str">
        <f ca="1">RESULTADOS!AJ40</f>
        <v>N/D</v>
      </c>
      <c r="BG23" s="146" t="str">
        <f ca="1">RESULTADOS!AK40</f>
        <v>N/T</v>
      </c>
      <c r="BH23" s="146" t="str">
        <f ca="1">RESULTADOS!AL40</f>
        <v>N/T</v>
      </c>
      <c r="BI23" s="146" t="str">
        <f ca="1">RESULTADOS!AM40</f>
        <v>N/T</v>
      </c>
      <c r="BJ23" s="146" t="str">
        <f ca="1">RESULTADOS!AN40</f>
        <v>N/T</v>
      </c>
      <c r="BK23" s="146" t="str">
        <f ca="1">RESULTADOS!AO40</f>
        <v>N/D</v>
      </c>
      <c r="BL23" s="146" t="str">
        <f ca="1">RESULTADOS!AP40</f>
        <v>N/T</v>
      </c>
      <c r="BM23" s="146" t="str">
        <f ca="1">RESULTADOS!AQ40</f>
        <v>N/T</v>
      </c>
      <c r="BN23" s="146" t="str">
        <f ca="1">RESULTADOS!AR40</f>
        <v>N/D</v>
      </c>
      <c r="BO23" s="146" t="str">
        <f ca="1">RESULTADOS!AS40</f>
        <v>N/D</v>
      </c>
      <c r="BP23" s="146" t="str">
        <f ca="1">RESULTADOS!AT40</f>
        <v>N/T</v>
      </c>
      <c r="BQ23" s="146" t="str">
        <f ca="1">RESULTADOS!AU40</f>
        <v>N/T</v>
      </c>
      <c r="BR23" s="146" t="str">
        <f ca="1">RESULTADOS!AV40</f>
        <v>N/D</v>
      </c>
      <c r="BS23" s="146" t="str">
        <f ca="1">RESULTADOS!AW40</f>
        <v>N/T</v>
      </c>
      <c r="BT23" s="146" t="str">
        <f ca="1">RESULTADOS!AX40</f>
        <v>N/T</v>
      </c>
      <c r="BU23" s="146" t="str">
        <f ca="1">RESULTADOS!AY40</f>
        <v>N/D</v>
      </c>
      <c r="BV23" s="146" t="str">
        <f ca="1">RESULTADOS!AZ40</f>
        <v>N/T</v>
      </c>
      <c r="BW23" s="146" t="str">
        <f ca="1">RESULTADOS!BA40</f>
        <v>N/D</v>
      </c>
      <c r="BX23" s="146" t="str">
        <f ca="1">RESULTADOS!BB40</f>
        <v>N/T</v>
      </c>
      <c r="BY23" s="146" t="str">
        <f ca="1">RESULTADOS!BC40</f>
        <v>N/D</v>
      </c>
      <c r="BZ23" s="146" t="str">
        <f ca="1">RESULTADOS!BD40</f>
        <v>N/T</v>
      </c>
      <c r="CA23" s="146" t="str">
        <f ca="1">RESULTADOS!BE40</f>
        <v>N/T</v>
      </c>
      <c r="CB23" s="146" t="str">
        <f ca="1">RESULTADOS!BF40</f>
        <v>N/D</v>
      </c>
      <c r="CC23" s="146" t="str">
        <f ca="1">RESULTADOS!BG40</f>
        <v>N/D</v>
      </c>
      <c r="CD23" s="146" t="str">
        <f ca="1">RESULTADOS!BH40</f>
        <v>N/T</v>
      </c>
      <c r="CE23" s="146" t="str">
        <f ca="1">RESULTADOS!BI40</f>
        <v>N/D</v>
      </c>
      <c r="CF23" s="146" t="str">
        <f ca="1">RESULTADOS!BJ40</f>
        <v>N/D</v>
      </c>
      <c r="CG23" s="146" t="str">
        <f ca="1">RESULTADOS!BK40</f>
        <v>N/D</v>
      </c>
      <c r="CH23" s="146" t="str">
        <f ca="1">RESULTADOS!BL40</f>
        <v>N/D</v>
      </c>
      <c r="CI23" s="146" t="str">
        <f ca="1">RESULTADOS!BM40</f>
        <v>N/D</v>
      </c>
      <c r="CJ23" s="146" t="str">
        <f ca="1">RESULTADOS!BN40</f>
        <v>N/T</v>
      </c>
      <c r="CK23" s="146" t="str">
        <f ca="1">RESULTADOS!BO40</f>
        <v>N/D</v>
      </c>
      <c r="CL23" s="146" t="str">
        <f ca="1">RESULTADOS!BP40</f>
        <v>N/T</v>
      </c>
      <c r="CM23" s="146" t="str">
        <f ca="1">RESULTADOS!BQ40</f>
        <v>N/T</v>
      </c>
      <c r="CN23" s="146" t="str">
        <f ca="1">RESULTADOS!BR40</f>
        <v>N/D</v>
      </c>
      <c r="CO23" s="146" t="str">
        <f ca="1">RESULTADOS!BS40</f>
        <v>N/T</v>
      </c>
      <c r="CP23" s="146" t="str">
        <f ca="1">RESULTADOS!BT40</f>
        <v>N/D</v>
      </c>
      <c r="CQ23" s="146" t="str">
        <f ca="1">RESULTADOS!BU40</f>
        <v>N/D</v>
      </c>
      <c r="CR23" s="146" t="str">
        <f ca="1">RESULTADOS!BV40</f>
        <v>N/D</v>
      </c>
      <c r="CS23" s="146" t="str">
        <f ca="1">RESULTADOS!BW40</f>
        <v>N/D</v>
      </c>
      <c r="CT23" s="146" t="str">
        <f ca="1">RESULTADOS!BX40</f>
        <v>N/D</v>
      </c>
      <c r="CU23" s="146" t="str">
        <f ca="1">RESULTADOS!BY40</f>
        <v>N/T</v>
      </c>
      <c r="CV23" s="146" t="str">
        <f ca="1">RESULTADOS!BZ40</f>
        <v>N/T</v>
      </c>
      <c r="CW23" s="146" t="str">
        <f ca="1">RESULTADOS!CA40</f>
        <v>N/D</v>
      </c>
      <c r="CX23" s="146" t="str">
        <f ca="1">RESULTADOS!CB40</f>
        <v>N/T</v>
      </c>
      <c r="CY23" s="146" t="str">
        <f ca="1">RESULTADOS!CC40</f>
        <v>N/T</v>
      </c>
      <c r="CZ23" s="146" t="str">
        <f ca="1">RESULTADOS!CD40</f>
        <v>N/T</v>
      </c>
      <c r="DA23" s="146" t="str">
        <f ca="1">RESULTADOS!CE40</f>
        <v>N/D</v>
      </c>
      <c r="DB23" s="146" t="str">
        <f ca="1">RESULTADOS!CF40</f>
        <v>N/T</v>
      </c>
      <c r="DC23" s="146" t="str">
        <f ca="1">RESULTADOS!CG40</f>
        <v>N/T</v>
      </c>
      <c r="DD23" s="146" t="str">
        <f ca="1">RESULTADOS!CH40</f>
        <v>N/T</v>
      </c>
      <c r="DE23" s="146" t="str">
        <f ca="1">RESULTADOS!CI40</f>
        <v>N/T</v>
      </c>
      <c r="DF23" s="146" t="str">
        <f ca="1">RESULTADOS!CJ40</f>
        <v>N/T</v>
      </c>
      <c r="DG23" s="146" t="str">
        <f ca="1">RESULTADOS!CK40</f>
        <v>N/T</v>
      </c>
      <c r="DH23" s="146" t="str">
        <f ca="1">RESULTADOS!CL40</f>
        <v>N/T</v>
      </c>
      <c r="DI23" s="146" t="str">
        <f ca="1">RESULTADOS!CM40</f>
        <v>N/T</v>
      </c>
      <c r="DJ23" s="146" t="str">
        <f ca="1">RESULTADOS!CN40</f>
        <v>N/T</v>
      </c>
      <c r="DK23" s="146" t="str">
        <f ca="1">RESULTADOS!CO40</f>
        <v>N/T</v>
      </c>
      <c r="DL23" s="146" t="str">
        <f ca="1">RESULTADOS!CP40</f>
        <v>N/T</v>
      </c>
      <c r="DM23" s="146" t="str">
        <f ca="1">RESULTADOS!CQ40</f>
        <v>N/T</v>
      </c>
      <c r="DN23" s="146" t="str">
        <f ca="1">RESULTADOS!CR40</f>
        <v>N/T</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276</v>
      </c>
      <c r="D24" s="147" t="str">
        <f>'01.Definición de ámbito'!D54</f>
        <v>No</v>
      </c>
      <c r="K24" s="40" t="s">
        <v>27</v>
      </c>
      <c r="L24" s="148" t="n">
        <f ca="1">RESULTADOS!P8</f>
        <v>53.0</v>
      </c>
      <c r="M24" s="216" t="n">
        <f ca="1">RESULTADOS!Q8</f>
        <v>0.19343065693430658</v>
      </c>
      <c r="T24" s="148" t="n">
        <f>RESULTADOS!B41</f>
        <v>1.0</v>
      </c>
      <c r="U24" s="148" t="str">
        <f>RESULTADOS!C41</f>
        <v>Home - PortCastelló</v>
      </c>
      <c r="V24" s="148" t="str">
        <f t="shared" si="0"/>
        <v>Página web</v>
      </c>
      <c r="W24" s="148" t="str">
        <v/>
      </c>
      <c r="X24" s="148" t="str">
        <f>RESULTADOS!D41</f>
        <v>https://www.portcastello.com/</v>
      </c>
      <c r="Y24" s="148" t="n">
        <v>0.0</v>
      </c>
      <c r="Z24" s="237" t="str">
        <v>Ej. Imágenes, tablas, listas, multimedia, formularios, plantilla X, plantilla Y</v>
      </c>
      <c r="AA24" s="146" t="str">
        <f ca="1">RESULTADOS!E41</f>
        <v>N/T</v>
      </c>
      <c r="AB24" s="146" t="str">
        <f ca="1">RESULTADOS!F41</f>
        <v>N/T</v>
      </c>
      <c r="AC24" s="146" t="str">
        <f ca="1">RESULTADOS!G41</f>
        <v>N/T</v>
      </c>
      <c r="AD24" s="146" t="str">
        <f ca="1">RESULTADOS!H41</f>
        <v>N/T</v>
      </c>
      <c r="AE24" s="146" t="str">
        <f ca="1">RESULTADOS!I41</f>
        <v>N/T</v>
      </c>
      <c r="AF24" s="146" t="str">
        <f ca="1">RESULTADOS!J41</f>
        <v>N/T</v>
      </c>
      <c r="AG24" s="146" t="str">
        <f ca="1">RESULTADOS!K41</f>
        <v>N/T</v>
      </c>
      <c r="AH24" s="146" t="str">
        <f ca="1">RESULTADOS!L41</f>
        <v>N/T</v>
      </c>
      <c r="AI24" s="146" t="str">
        <f ca="1">RESULTADOS!M41</f>
        <v>N/T</v>
      </c>
      <c r="AJ24" s="146" t="str">
        <f ca="1">RESULTADOS!N41</f>
        <v>N/T</v>
      </c>
      <c r="AK24" s="146" t="str">
        <f ca="1">RESULTADOS!O41</f>
        <v>N/T</v>
      </c>
      <c r="AL24" s="146" t="str">
        <f ca="1">RESULTADOS!P41</f>
        <v>N/T</v>
      </c>
      <c r="AM24" s="146" t="str">
        <f ca="1">RESULTADOS!Q41</f>
        <v>N/T</v>
      </c>
      <c r="AN24" s="146" t="str">
        <f ca="1">RESULTADOS!R41</f>
        <v>N/T</v>
      </c>
      <c r="AO24" s="146" t="str">
        <f ca="1">RESULTADOS!S41</f>
        <v>N/T</v>
      </c>
      <c r="AP24" s="146" t="str">
        <f ca="1">RESULTADOS!T41</f>
        <v>N/T</v>
      </c>
      <c r="AQ24" s="146" t="str">
        <f ca="1">RESULTADOS!U41</f>
        <v>N/T</v>
      </c>
      <c r="AR24" s="146" t="str">
        <f ca="1">RESULTADOS!V41</f>
        <v>N/T</v>
      </c>
      <c r="AS24" s="146" t="str">
        <f ca="1">RESULTADOS!W41</f>
        <v>N/T</v>
      </c>
      <c r="AT24" s="146" t="str">
        <f ca="1">RESULTADOS!X41</f>
        <v>N/T</v>
      </c>
      <c r="AU24" s="146" t="str">
        <f ca="1">RESULTADOS!Y41</f>
        <v>N/T</v>
      </c>
      <c r="AV24" s="146" t="str">
        <f ca="1">RESULTADOS!Z41</f>
        <v>N/T</v>
      </c>
      <c r="AW24" s="146" t="str">
        <f ca="1">RESULTADOS!AA41</f>
        <v>N/T</v>
      </c>
      <c r="AX24" s="146" t="str">
        <f ca="1">RESULTADOS!AB41</f>
        <v>N/T</v>
      </c>
      <c r="AY24" s="146" t="str">
        <f ca="1">RESULTADOS!AC41</f>
        <v>N/T</v>
      </c>
      <c r="AZ24" s="146" t="str">
        <f ca="1">RESULTADOS!AD41</f>
        <v>N/T</v>
      </c>
      <c r="BA24" s="146" t="str">
        <f ca="1">RESULTADOS!AE41</f>
        <v>N/T</v>
      </c>
      <c r="BB24" s="146" t="str">
        <f ca="1">RESULTADOS!AF41</f>
        <v>N/T</v>
      </c>
      <c r="BC24" s="146" t="str">
        <f ca="1">RESULTADOS!AG41</f>
        <v>N/T</v>
      </c>
      <c r="BD24" s="146" t="str">
        <f ca="1">RESULTADOS!AH41</f>
        <v>N/T</v>
      </c>
      <c r="BE24" s="146" t="str">
        <f ca="1">RESULTADOS!AI41</f>
        <v>N/T</v>
      </c>
      <c r="BF24" s="146" t="str">
        <f ca="1">RESULTADOS!AJ41</f>
        <v>N/D</v>
      </c>
      <c r="BG24" s="146" t="str">
        <f ca="1">RESULTADOS!AK41</f>
        <v>N/T</v>
      </c>
      <c r="BH24" s="146" t="str">
        <f ca="1">RESULTADOS!AL41</f>
        <v>N/T</v>
      </c>
      <c r="BI24" s="146" t="str">
        <f ca="1">RESULTADOS!AM41</f>
        <v>N/T</v>
      </c>
      <c r="BJ24" s="146" t="str">
        <f ca="1">RESULTADOS!AN41</f>
        <v>N/T</v>
      </c>
      <c r="BK24" s="146" t="str">
        <f ca="1">RESULTADOS!AO41</f>
        <v>N/D</v>
      </c>
      <c r="BL24" s="146" t="str">
        <f ca="1">RESULTADOS!AP41</f>
        <v>N/T</v>
      </c>
      <c r="BM24" s="146" t="str">
        <f ca="1">RESULTADOS!AQ41</f>
        <v>N/T</v>
      </c>
      <c r="BN24" s="146" t="str">
        <f ca="1">RESULTADOS!AR41</f>
        <v>N/D</v>
      </c>
      <c r="BO24" s="146" t="str">
        <f ca="1">RESULTADOS!AS41</f>
        <v>N/D</v>
      </c>
      <c r="BP24" s="146" t="str">
        <f ca="1">RESULTADOS!AT41</f>
        <v>N/T</v>
      </c>
      <c r="BQ24" s="146" t="str">
        <f ca="1">RESULTADOS!AU41</f>
        <v>N/T</v>
      </c>
      <c r="BR24" s="146" t="str">
        <f ca="1">RESULTADOS!AV41</f>
        <v>N/D</v>
      </c>
      <c r="BS24" s="146" t="str">
        <f ca="1">RESULTADOS!AW41</f>
        <v>N/T</v>
      </c>
      <c r="BT24" s="146" t="str">
        <f ca="1">RESULTADOS!AX41</f>
        <v>N/T</v>
      </c>
      <c r="BU24" s="146" t="str">
        <f ca="1">RESULTADOS!AY41</f>
        <v>N/D</v>
      </c>
      <c r="BV24" s="146" t="str">
        <f ca="1">RESULTADOS!AZ41</f>
        <v>N/T</v>
      </c>
      <c r="BW24" s="146" t="str">
        <f ca="1">RESULTADOS!BA41</f>
        <v>N/D</v>
      </c>
      <c r="BX24" s="146" t="str">
        <f ca="1">RESULTADOS!BB41</f>
        <v>N/T</v>
      </c>
      <c r="BY24" s="146" t="str">
        <f ca="1">RESULTADOS!BC41</f>
        <v>N/D</v>
      </c>
      <c r="BZ24" s="146" t="str">
        <f ca="1">RESULTADOS!BD41</f>
        <v>N/T</v>
      </c>
      <c r="CA24" s="146" t="str">
        <f ca="1">RESULTADOS!BE41</f>
        <v>N/T</v>
      </c>
      <c r="CB24" s="146" t="str">
        <f ca="1">RESULTADOS!BF41</f>
        <v>N/D</v>
      </c>
      <c r="CC24" s="146" t="str">
        <f ca="1">RESULTADOS!BG41</f>
        <v>N/D</v>
      </c>
      <c r="CD24" s="146" t="str">
        <f ca="1">RESULTADOS!BH41</f>
        <v>N/T</v>
      </c>
      <c r="CE24" s="146" t="str">
        <f ca="1">RESULTADOS!BI41</f>
        <v>N/D</v>
      </c>
      <c r="CF24" s="146" t="str">
        <f ca="1">RESULTADOS!BJ41</f>
        <v>N/D</v>
      </c>
      <c r="CG24" s="146" t="str">
        <f ca="1">RESULTADOS!BK41</f>
        <v>N/D</v>
      </c>
      <c r="CH24" s="146" t="str">
        <f ca="1">RESULTADOS!BL41</f>
        <v>Falla</v>
      </c>
      <c r="CI24" s="146" t="str">
        <f ca="1">RESULTADOS!BM41</f>
        <v>N/D</v>
      </c>
      <c r="CJ24" s="146" t="str">
        <f ca="1">RESULTADOS!BN41</f>
        <v>N/T</v>
      </c>
      <c r="CK24" s="146" t="str">
        <f ca="1">RESULTADOS!BO41</f>
        <v>N/D</v>
      </c>
      <c r="CL24" s="146" t="str">
        <f ca="1">RESULTADOS!BP41</f>
        <v>N/T</v>
      </c>
      <c r="CM24" s="146" t="str">
        <f ca="1">RESULTADOS!BQ41</f>
        <v>N/T</v>
      </c>
      <c r="CN24" s="146" t="str">
        <f ca="1">RESULTADOS!BR41</f>
        <v>N/D</v>
      </c>
      <c r="CO24" s="146" t="str">
        <f ca="1">RESULTADOS!BS41</f>
        <v>N/T</v>
      </c>
      <c r="CP24" s="146" t="str">
        <f ca="1">RESULTADOS!BT41</f>
        <v>N/D</v>
      </c>
      <c r="CQ24" s="146" t="str">
        <f ca="1">RESULTADOS!BU41</f>
        <v>N/D</v>
      </c>
      <c r="CR24" s="146" t="str">
        <f ca="1">RESULTADOS!BV41</f>
        <v>N/D</v>
      </c>
      <c r="CS24" s="146" t="str">
        <f ca="1">RESULTADOS!BW41</f>
        <v>N/D</v>
      </c>
      <c r="CT24" s="146" t="str">
        <f ca="1">RESULTADOS!BX41</f>
        <v>N/D</v>
      </c>
      <c r="CU24" s="146" t="str">
        <f ca="1">RESULTADOS!BY41</f>
        <v>N/T</v>
      </c>
      <c r="CV24" s="146" t="str">
        <f ca="1">RESULTADOS!BZ41</f>
        <v>N/T</v>
      </c>
      <c r="CW24" s="146" t="str">
        <f ca="1">RESULTADOS!CA41</f>
        <v>N/D</v>
      </c>
      <c r="CX24" s="146" t="str">
        <f ca="1">RESULTADOS!CB41</f>
        <v>N/T</v>
      </c>
      <c r="CY24" s="146" t="str">
        <f ca="1">RESULTADOS!CC41</f>
        <v>N/T</v>
      </c>
      <c r="CZ24" s="146" t="str">
        <f ca="1">RESULTADOS!CD41</f>
        <v>N/T</v>
      </c>
      <c r="DA24" s="146" t="str">
        <f ca="1">RESULTADOS!CE41</f>
        <v>N/D</v>
      </c>
      <c r="DB24" s="146" t="str">
        <f ca="1">RESULTADOS!CF41</f>
        <v>N/T</v>
      </c>
      <c r="DC24" s="146" t="str">
        <f ca="1">RESULTADOS!CG41</f>
        <v>N/T</v>
      </c>
      <c r="DD24" s="146" t="str">
        <f ca="1">RESULTADOS!CH41</f>
        <v>N/T</v>
      </c>
      <c r="DE24" s="146" t="str">
        <f ca="1">RESULTADOS!CI41</f>
        <v>N/T</v>
      </c>
      <c r="DF24" s="146" t="str">
        <f ca="1">RESULTADOS!CJ41</f>
        <v>N/T</v>
      </c>
      <c r="DG24" s="146" t="str">
        <f ca="1">RESULTADOS!CK41</f>
        <v>N/T</v>
      </c>
      <c r="DH24" s="146" t="str">
        <f ca="1">RESULTADOS!CL41</f>
        <v>N/T</v>
      </c>
      <c r="DI24" s="146" t="str">
        <f ca="1">RESULTADOS!CM41</f>
        <v>N/T</v>
      </c>
      <c r="DJ24" s="146" t="str">
        <f ca="1">RESULTADOS!CN41</f>
        <v>N/T</v>
      </c>
      <c r="DK24" s="146" t="str">
        <f ca="1">RESULTADOS!CO41</f>
        <v>N/T</v>
      </c>
      <c r="DL24" s="146" t="str">
        <f ca="1">RESULTADOS!CP41</f>
        <v>N/T</v>
      </c>
      <c r="DM24" s="146" t="str">
        <f ca="1">RESULTADOS!CQ41</f>
        <v>N/T</v>
      </c>
      <c r="DN24" s="146" t="str">
        <f ca="1">RESULTADOS!CR41</f>
        <v>N/T</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277</v>
      </c>
      <c r="D25" s="147" t="str">
        <f>'01.Definición de ámbito'!D55</f>
        <v>No</v>
      </c>
      <c r="K25" s="40" t="s">
        <v>29</v>
      </c>
      <c r="L25" s="148" t="n">
        <f ca="1">RESULTADOS!P9</f>
        <v>216.0</v>
      </c>
      <c r="M25" s="216" t="n">
        <f ca="1">RESULTADOS!Q9</f>
        <v>0.7883211678832117</v>
      </c>
      <c r="T25" s="148" t="n">
        <f>RESULTADOS!B42</f>
        <v>1.0</v>
      </c>
      <c r="U25" s="148" t="str">
        <f>RESULTADOS!C42</f>
        <v>Home - PortCastelló</v>
      </c>
      <c r="V25" s="148" t="str">
        <f t="shared" si="0"/>
        <v>Página web</v>
      </c>
      <c r="W25" s="148" t="str">
        <v/>
      </c>
      <c r="X25" s="148" t="str">
        <f>RESULTADOS!D42</f>
        <v>https://www.portcastello.com/</v>
      </c>
      <c r="Y25" s="148" t="n">
        <v>0.0</v>
      </c>
      <c r="Z25" s="237" t="str">
        <v>Ej. Imágenes, tablas, listas, multimedia, formularios, plantilla X, plantilla Y</v>
      </c>
      <c r="AA25" s="146" t="str">
        <f ca="1">RESULTADOS!E42</f>
        <v>N/T</v>
      </c>
      <c r="AB25" s="146" t="str">
        <f ca="1">RESULTADOS!F42</f>
        <v>N/T</v>
      </c>
      <c r="AC25" s="146" t="str">
        <f ca="1">RESULTADOS!G42</f>
        <v>N/T</v>
      </c>
      <c r="AD25" s="146" t="str">
        <f ca="1">RESULTADOS!H42</f>
        <v>N/T</v>
      </c>
      <c r="AE25" s="146" t="str">
        <f ca="1">RESULTADOS!I42</f>
        <v>N/T</v>
      </c>
      <c r="AF25" s="146" t="str">
        <f ca="1">RESULTADOS!J42</f>
        <v>N/T</v>
      </c>
      <c r="AG25" s="146" t="str">
        <f ca="1">RESULTADOS!K42</f>
        <v>N/T</v>
      </c>
      <c r="AH25" s="146" t="str">
        <f ca="1">RESULTADOS!L42</f>
        <v>N/T</v>
      </c>
      <c r="AI25" s="146" t="str">
        <f ca="1">RESULTADOS!M42</f>
        <v>N/T</v>
      </c>
      <c r="AJ25" s="146" t="str">
        <f ca="1">RESULTADOS!N42</f>
        <v>N/T</v>
      </c>
      <c r="AK25" s="146" t="str">
        <f ca="1">RESULTADOS!O42</f>
        <v>N/T</v>
      </c>
      <c r="AL25" s="146" t="str">
        <f ca="1">RESULTADOS!P42</f>
        <v>N/T</v>
      </c>
      <c r="AM25" s="146" t="str">
        <f ca="1">RESULTADOS!Q42</f>
        <v>N/T</v>
      </c>
      <c r="AN25" s="146" t="str">
        <f ca="1">RESULTADOS!R42</f>
        <v>N/T</v>
      </c>
      <c r="AO25" s="146" t="str">
        <f ca="1">RESULTADOS!S42</f>
        <v>N/T</v>
      </c>
      <c r="AP25" s="146" t="str">
        <f ca="1">RESULTADOS!T42</f>
        <v>N/T</v>
      </c>
      <c r="AQ25" s="146" t="str">
        <f ca="1">RESULTADOS!U42</f>
        <v>N/T</v>
      </c>
      <c r="AR25" s="146" t="str">
        <f ca="1">RESULTADOS!V42</f>
        <v>N/T</v>
      </c>
      <c r="AS25" s="146" t="str">
        <f ca="1">RESULTADOS!W42</f>
        <v>N/T</v>
      </c>
      <c r="AT25" s="146" t="str">
        <f ca="1">RESULTADOS!X42</f>
        <v>N/T</v>
      </c>
      <c r="AU25" s="146" t="str">
        <f ca="1">RESULTADOS!Y42</f>
        <v>N/T</v>
      </c>
      <c r="AV25" s="146" t="str">
        <f ca="1">RESULTADOS!Z42</f>
        <v>N/T</v>
      </c>
      <c r="AW25" s="146" t="str">
        <f ca="1">RESULTADOS!AA42</f>
        <v>N/T</v>
      </c>
      <c r="AX25" s="146" t="str">
        <f ca="1">RESULTADOS!AB42</f>
        <v>N/T</v>
      </c>
      <c r="AY25" s="146" t="str">
        <f ca="1">RESULTADOS!AC42</f>
        <v>N/T</v>
      </c>
      <c r="AZ25" s="146" t="str">
        <f ca="1">RESULTADOS!AD42</f>
        <v>N/T</v>
      </c>
      <c r="BA25" s="146" t="str">
        <f ca="1">RESULTADOS!AE42</f>
        <v>N/T</v>
      </c>
      <c r="BB25" s="146" t="str">
        <f ca="1">RESULTADOS!AF42</f>
        <v>N/T</v>
      </c>
      <c r="BC25" s="146" t="str">
        <f ca="1">RESULTADOS!AG42</f>
        <v>N/T</v>
      </c>
      <c r="BD25" s="146" t="str">
        <f ca="1">RESULTADOS!AH42</f>
        <v>N/T</v>
      </c>
      <c r="BE25" s="146" t="str">
        <f ca="1">RESULTADOS!AI42</f>
        <v>N/T</v>
      </c>
      <c r="BF25" s="146" t="str">
        <f ca="1">RESULTADOS!AJ42</f>
        <v>N/D</v>
      </c>
      <c r="BG25" s="146" t="str">
        <f ca="1">RESULTADOS!AK42</f>
        <v>N/T</v>
      </c>
      <c r="BH25" s="146" t="str">
        <f ca="1">RESULTADOS!AL42</f>
        <v>N/T</v>
      </c>
      <c r="BI25" s="146" t="str">
        <f ca="1">RESULTADOS!AM42</f>
        <v>N/T</v>
      </c>
      <c r="BJ25" s="146" t="str">
        <f ca="1">RESULTADOS!AN42</f>
        <v>N/T</v>
      </c>
      <c r="BK25" s="146" t="str">
        <f ca="1">RESULTADOS!AO42</f>
        <v>N/D</v>
      </c>
      <c r="BL25" s="146" t="str">
        <f ca="1">RESULTADOS!AP42</f>
        <v>N/T</v>
      </c>
      <c r="BM25" s="146" t="str">
        <f ca="1">RESULTADOS!AQ42</f>
        <v>N/T</v>
      </c>
      <c r="BN25" s="146" t="str">
        <f ca="1">RESULTADOS!AR42</f>
        <v>N/D</v>
      </c>
      <c r="BO25" s="146" t="str">
        <f ca="1">RESULTADOS!AS42</f>
        <v>N/D</v>
      </c>
      <c r="BP25" s="146" t="str">
        <f ca="1">RESULTADOS!AT42</f>
        <v>N/T</v>
      </c>
      <c r="BQ25" s="146" t="str">
        <f ca="1">RESULTADOS!AU42</f>
        <v>N/T</v>
      </c>
      <c r="BR25" s="146" t="str">
        <f ca="1">RESULTADOS!AV42</f>
        <v>N/D</v>
      </c>
      <c r="BS25" s="146" t="str">
        <f ca="1">RESULTADOS!AW42</f>
        <v>N/T</v>
      </c>
      <c r="BT25" s="146" t="str">
        <f ca="1">RESULTADOS!AX42</f>
        <v>N/T</v>
      </c>
      <c r="BU25" s="146" t="str">
        <f ca="1">RESULTADOS!AY42</f>
        <v>N/D</v>
      </c>
      <c r="BV25" s="146" t="str">
        <f ca="1">RESULTADOS!AZ42</f>
        <v>N/T</v>
      </c>
      <c r="BW25" s="146" t="str">
        <f ca="1">RESULTADOS!BA42</f>
        <v>N/D</v>
      </c>
      <c r="BX25" s="146" t="str">
        <f ca="1">RESULTADOS!BB42</f>
        <v>N/T</v>
      </c>
      <c r="BY25" s="146" t="str">
        <f ca="1">RESULTADOS!BC42</f>
        <v>N/D</v>
      </c>
      <c r="BZ25" s="146" t="str">
        <f ca="1">RESULTADOS!BD42</f>
        <v>N/T</v>
      </c>
      <c r="CA25" s="146" t="str">
        <f ca="1">RESULTADOS!BE42</f>
        <v>N/T</v>
      </c>
      <c r="CB25" s="146" t="str">
        <f ca="1">RESULTADOS!BF42</f>
        <v>N/D</v>
      </c>
      <c r="CC25" s="146" t="str">
        <f ca="1">RESULTADOS!BG42</f>
        <v>N/D</v>
      </c>
      <c r="CD25" s="146" t="str">
        <f ca="1">RESULTADOS!BH42</f>
        <v>N/T</v>
      </c>
      <c r="CE25" s="146" t="str">
        <f ca="1">RESULTADOS!BI42</f>
        <v>N/D</v>
      </c>
      <c r="CF25" s="146" t="str">
        <f ca="1">RESULTADOS!BJ42</f>
        <v>N/D</v>
      </c>
      <c r="CG25" s="146" t="str">
        <f ca="1">RESULTADOS!BK42</f>
        <v>N/D</v>
      </c>
      <c r="CH25" s="146" t="str">
        <f ca="1">RESULTADOS!BL42</f>
        <v>N/D</v>
      </c>
      <c r="CI25" s="146" t="str">
        <f ca="1">RESULTADOS!BM42</f>
        <v>N/D</v>
      </c>
      <c r="CJ25" s="146" t="str">
        <f ca="1">RESULTADOS!BN42</f>
        <v>N/T</v>
      </c>
      <c r="CK25" s="146" t="str">
        <f ca="1">RESULTADOS!BO42</f>
        <v>N/D</v>
      </c>
      <c r="CL25" s="146" t="str">
        <f ca="1">RESULTADOS!BP42</f>
        <v>N/T</v>
      </c>
      <c r="CM25" s="146" t="str">
        <f ca="1">RESULTADOS!BQ42</f>
        <v>N/T</v>
      </c>
      <c r="CN25" s="146" t="str">
        <f ca="1">RESULTADOS!BR42</f>
        <v>N/D</v>
      </c>
      <c r="CO25" s="146" t="str">
        <f ca="1">RESULTADOS!BS42</f>
        <v>N/T</v>
      </c>
      <c r="CP25" s="146" t="str">
        <f ca="1">RESULTADOS!BT42</f>
        <v>N/D</v>
      </c>
      <c r="CQ25" s="146" t="str">
        <f ca="1">RESULTADOS!BU42</f>
        <v>N/D</v>
      </c>
      <c r="CR25" s="146" t="str">
        <f ca="1">RESULTADOS!BV42</f>
        <v>N/D</v>
      </c>
      <c r="CS25" s="146" t="str">
        <f ca="1">RESULTADOS!BW42</f>
        <v>N/D</v>
      </c>
      <c r="CT25" s="146" t="str">
        <f ca="1">RESULTADOS!BX42</f>
        <v>N/D</v>
      </c>
      <c r="CU25" s="146" t="str">
        <f ca="1">RESULTADOS!BY42</f>
        <v>N/T</v>
      </c>
      <c r="CV25" s="146" t="str">
        <f ca="1">RESULTADOS!BZ42</f>
        <v>N/T</v>
      </c>
      <c r="CW25" s="146" t="str">
        <f ca="1">RESULTADOS!CA42</f>
        <v>N/D</v>
      </c>
      <c r="CX25" s="146" t="str">
        <f ca="1">RESULTADOS!CB42</f>
        <v>N/T</v>
      </c>
      <c r="CY25" s="146" t="str">
        <f ca="1">RESULTADOS!CC42</f>
        <v>N/T</v>
      </c>
      <c r="CZ25" s="146" t="str">
        <f ca="1">RESULTADOS!CD42</f>
        <v>N/T</v>
      </c>
      <c r="DA25" s="146" t="str">
        <f ca="1">RESULTADOS!CE42</f>
        <v>N/D</v>
      </c>
      <c r="DB25" s="146" t="str">
        <f ca="1">RESULTADOS!CF42</f>
        <v>N/T</v>
      </c>
      <c r="DC25" s="146" t="str">
        <f ca="1">RESULTADOS!CG42</f>
        <v>N/T</v>
      </c>
      <c r="DD25" s="146" t="str">
        <f ca="1">RESULTADOS!CH42</f>
        <v>N/T</v>
      </c>
      <c r="DE25" s="146" t="str">
        <f ca="1">RESULTADOS!CI42</f>
        <v>N/T</v>
      </c>
      <c r="DF25" s="146" t="str">
        <f ca="1">RESULTADOS!CJ42</f>
        <v>N/T</v>
      </c>
      <c r="DG25" s="146" t="str">
        <f ca="1">RESULTADOS!CK42</f>
        <v>N/T</v>
      </c>
      <c r="DH25" s="146" t="str">
        <f ca="1">RESULTADOS!CL42</f>
        <v>N/T</v>
      </c>
      <c r="DI25" s="146" t="str">
        <f ca="1">RESULTADOS!CM42</f>
        <v>N/T</v>
      </c>
      <c r="DJ25" s="146" t="str">
        <f ca="1">RESULTADOS!CN42</f>
        <v>N/T</v>
      </c>
      <c r="DK25" s="146" t="str">
        <f ca="1">RESULTADOS!CO42</f>
        <v>N/T</v>
      </c>
      <c r="DL25" s="146" t="str">
        <f ca="1">RESULTADOS!CP42</f>
        <v>N/T</v>
      </c>
      <c r="DM25" s="146" t="str">
        <f ca="1">RESULTADOS!CQ42</f>
        <v>N/T</v>
      </c>
      <c r="DN25" s="146" t="str">
        <f ca="1">RESULTADOS!CR42</f>
        <v>N/T</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48</v>
      </c>
      <c r="L26" s="148" t="n">
        <f ca="1">RESULTADOS!P11</f>
        <v>269.0</v>
      </c>
      <c r="M26" s="216" t="n">
        <f ca="1">RESULTADOS!Q11</f>
        <v>0.9817518248175183</v>
      </c>
      <c r="T26" s="148" t="n">
        <f>RESULTADOS!B43</f>
        <v>1.0</v>
      </c>
      <c r="U26" s="148" t="str">
        <f>RESULTADOS!C43</f>
        <v>Home - PortCastelló</v>
      </c>
      <c r="V26" s="148" t="str">
        <f t="shared" si="0"/>
        <v>Página web</v>
      </c>
      <c r="W26" s="148" t="str">
        <v/>
      </c>
      <c r="X26" s="148" t="str">
        <f>RESULTADOS!D43</f>
        <v>https://www.portcastello.com/</v>
      </c>
      <c r="Y26" s="148" t="n">
        <v>0.0</v>
      </c>
      <c r="Z26" s="237" t="str">
        <v>Ej. Imágenes, tablas, listas, multimedia, formularios, plantilla X, plantilla Y</v>
      </c>
      <c r="AA26" s="146" t="str">
        <f ca="1">RESULTADOS!E43</f>
        <v>N/T</v>
      </c>
      <c r="AB26" s="146" t="str">
        <f ca="1">RESULTADOS!F43</f>
        <v>N/T</v>
      </c>
      <c r="AC26" s="146" t="str">
        <f ca="1">RESULTADOS!G43</f>
        <v>N/T</v>
      </c>
      <c r="AD26" s="146" t="str">
        <f ca="1">RESULTADOS!H43</f>
        <v>N/T</v>
      </c>
      <c r="AE26" s="146" t="str">
        <f ca="1">RESULTADOS!I43</f>
        <v>N/T</v>
      </c>
      <c r="AF26" s="146" t="str">
        <f ca="1">RESULTADOS!J43</f>
        <v>N/T</v>
      </c>
      <c r="AG26" s="146" t="str">
        <f ca="1">RESULTADOS!K43</f>
        <v>N/T</v>
      </c>
      <c r="AH26" s="146" t="str">
        <f ca="1">RESULTADOS!L43</f>
        <v>N/T</v>
      </c>
      <c r="AI26" s="146" t="str">
        <f ca="1">RESULTADOS!M43</f>
        <v>N/T</v>
      </c>
      <c r="AJ26" s="146" t="str">
        <f ca="1">RESULTADOS!N43</f>
        <v>N/T</v>
      </c>
      <c r="AK26" s="146" t="str">
        <f ca="1">RESULTADOS!O43</f>
        <v>N/T</v>
      </c>
      <c r="AL26" s="146" t="str">
        <f ca="1">RESULTADOS!P43</f>
        <v>N/T</v>
      </c>
      <c r="AM26" s="146" t="str">
        <f ca="1">RESULTADOS!Q43</f>
        <v>N/T</v>
      </c>
      <c r="AN26" s="146" t="str">
        <f ca="1">RESULTADOS!R43</f>
        <v>N/T</v>
      </c>
      <c r="AO26" s="146" t="str">
        <f ca="1">RESULTADOS!S43</f>
        <v>N/T</v>
      </c>
      <c r="AP26" s="146" t="str">
        <f ca="1">RESULTADOS!T43</f>
        <v>N/T</v>
      </c>
      <c r="AQ26" s="146" t="str">
        <f ca="1">RESULTADOS!U43</f>
        <v>N/T</v>
      </c>
      <c r="AR26" s="146" t="str">
        <f ca="1">RESULTADOS!V43</f>
        <v>N/T</v>
      </c>
      <c r="AS26" s="146" t="str">
        <f ca="1">RESULTADOS!W43</f>
        <v>N/T</v>
      </c>
      <c r="AT26" s="146" t="str">
        <f ca="1">RESULTADOS!X43</f>
        <v>N/T</v>
      </c>
      <c r="AU26" s="146" t="str">
        <f ca="1">RESULTADOS!Y43</f>
        <v>N/T</v>
      </c>
      <c r="AV26" s="146" t="str">
        <f ca="1">RESULTADOS!Z43</f>
        <v>N/T</v>
      </c>
      <c r="AW26" s="146" t="str">
        <f ca="1">RESULTADOS!AA43</f>
        <v>N/T</v>
      </c>
      <c r="AX26" s="146" t="str">
        <f ca="1">RESULTADOS!AB43</f>
        <v>N/T</v>
      </c>
      <c r="AY26" s="146" t="str">
        <f ca="1">RESULTADOS!AC43</f>
        <v>N/T</v>
      </c>
      <c r="AZ26" s="146" t="str">
        <f ca="1">RESULTADOS!AD43</f>
        <v>N/T</v>
      </c>
      <c r="BA26" s="146" t="str">
        <f ca="1">RESULTADOS!AE43</f>
        <v>N/T</v>
      </c>
      <c r="BB26" s="146" t="str">
        <f ca="1">RESULTADOS!AF43</f>
        <v>N/T</v>
      </c>
      <c r="BC26" s="146" t="str">
        <f ca="1">RESULTADOS!AG43</f>
        <v>N/T</v>
      </c>
      <c r="BD26" s="146" t="str">
        <f ca="1">RESULTADOS!AH43</f>
        <v>N/T</v>
      </c>
      <c r="BE26" s="146" t="str">
        <f ca="1">RESULTADOS!AI43</f>
        <v>N/T</v>
      </c>
      <c r="BF26" s="146" t="str">
        <f ca="1">RESULTADOS!AJ43</f>
        <v>N/D</v>
      </c>
      <c r="BG26" s="146" t="str">
        <f ca="1">RESULTADOS!AK43</f>
        <v>N/T</v>
      </c>
      <c r="BH26" s="146" t="str">
        <f ca="1">RESULTADOS!AL43</f>
        <v>N/T</v>
      </c>
      <c r="BI26" s="146" t="str">
        <f ca="1">RESULTADOS!AM43</f>
        <v>N/T</v>
      </c>
      <c r="BJ26" s="146" t="str">
        <f ca="1">RESULTADOS!AN43</f>
        <v>N/T</v>
      </c>
      <c r="BK26" s="146" t="str">
        <f ca="1">RESULTADOS!AO43</f>
        <v>N/D</v>
      </c>
      <c r="BL26" s="146" t="str">
        <f ca="1">RESULTADOS!AP43</f>
        <v>N/T</v>
      </c>
      <c r="BM26" s="146" t="str">
        <f ca="1">RESULTADOS!AQ43</f>
        <v>N/T</v>
      </c>
      <c r="BN26" s="146" t="str">
        <f ca="1">RESULTADOS!AR43</f>
        <v>N/D</v>
      </c>
      <c r="BO26" s="146" t="str">
        <f ca="1">RESULTADOS!AS43</f>
        <v>N/D</v>
      </c>
      <c r="BP26" s="146" t="str">
        <f ca="1">RESULTADOS!AT43</f>
        <v>N/T</v>
      </c>
      <c r="BQ26" s="146" t="str">
        <f ca="1">RESULTADOS!AU43</f>
        <v>N/T</v>
      </c>
      <c r="BR26" s="146" t="str">
        <f ca="1">RESULTADOS!AV43</f>
        <v>N/D</v>
      </c>
      <c r="BS26" s="146" t="str">
        <f ca="1">RESULTADOS!AW43</f>
        <v>N/T</v>
      </c>
      <c r="BT26" s="146" t="str">
        <f ca="1">RESULTADOS!AX43</f>
        <v>N/T</v>
      </c>
      <c r="BU26" s="146" t="str">
        <f ca="1">RESULTADOS!AY43</f>
        <v>N/D</v>
      </c>
      <c r="BV26" s="146" t="str">
        <f ca="1">RESULTADOS!AZ43</f>
        <v>N/T</v>
      </c>
      <c r="BW26" s="146" t="str">
        <f ca="1">RESULTADOS!BA43</f>
        <v>N/D</v>
      </c>
      <c r="BX26" s="146" t="str">
        <f ca="1">RESULTADOS!BB43</f>
        <v>N/T</v>
      </c>
      <c r="BY26" s="146" t="str">
        <f ca="1">RESULTADOS!BC43</f>
        <v>N/D</v>
      </c>
      <c r="BZ26" s="146" t="str">
        <f ca="1">RESULTADOS!BD43</f>
        <v>N/T</v>
      </c>
      <c r="CA26" s="146" t="str">
        <f ca="1">RESULTADOS!BE43</f>
        <v>N/T</v>
      </c>
      <c r="CB26" s="146" t="str">
        <f ca="1">RESULTADOS!BF43</f>
        <v>N/D</v>
      </c>
      <c r="CC26" s="146" t="str">
        <f ca="1">RESULTADOS!BG43</f>
        <v>N/D</v>
      </c>
      <c r="CD26" s="146" t="str">
        <f ca="1">RESULTADOS!BH43</f>
        <v>N/T</v>
      </c>
      <c r="CE26" s="146" t="str">
        <f ca="1">RESULTADOS!BI43</f>
        <v>N/D</v>
      </c>
      <c r="CF26" s="146" t="str">
        <f ca="1">RESULTADOS!BJ43</f>
        <v>N/D</v>
      </c>
      <c r="CG26" s="146" t="str">
        <f ca="1">RESULTADOS!BK43</f>
        <v>N/D</v>
      </c>
      <c r="CH26" s="146" t="str">
        <f ca="1">RESULTADOS!BL43</f>
        <v>N/D</v>
      </c>
      <c r="CI26" s="146" t="str">
        <f ca="1">RESULTADOS!BM43</f>
        <v>Falla</v>
      </c>
      <c r="CJ26" s="146" t="str">
        <f ca="1">RESULTADOS!BN43</f>
        <v>N/T</v>
      </c>
      <c r="CK26" s="146" t="str">
        <f ca="1">RESULTADOS!BO43</f>
        <v>N/D</v>
      </c>
      <c r="CL26" s="146" t="str">
        <f ca="1">RESULTADOS!BP43</f>
        <v>N/T</v>
      </c>
      <c r="CM26" s="146" t="str">
        <f ca="1">RESULTADOS!BQ43</f>
        <v>N/T</v>
      </c>
      <c r="CN26" s="146" t="str">
        <f ca="1">RESULTADOS!BR43</f>
        <v>N/D</v>
      </c>
      <c r="CO26" s="146" t="str">
        <f ca="1">RESULTADOS!BS43</f>
        <v>N/T</v>
      </c>
      <c r="CP26" s="146" t="str">
        <f ca="1">RESULTADOS!BT43</f>
        <v>N/D</v>
      </c>
      <c r="CQ26" s="146" t="str">
        <f ca="1">RESULTADOS!BU43</f>
        <v>N/D</v>
      </c>
      <c r="CR26" s="146" t="str">
        <f ca="1">RESULTADOS!BV43</f>
        <v>N/D</v>
      </c>
      <c r="CS26" s="146" t="str">
        <f ca="1">RESULTADOS!BW43</f>
        <v>N/D</v>
      </c>
      <c r="CT26" s="146" t="str">
        <f ca="1">RESULTADOS!BX43</f>
        <v>N/D</v>
      </c>
      <c r="CU26" s="146" t="str">
        <f ca="1">RESULTADOS!BY43</f>
        <v>N/T</v>
      </c>
      <c r="CV26" s="146" t="str">
        <f ca="1">RESULTADOS!BZ43</f>
        <v>N/T</v>
      </c>
      <c r="CW26" s="146" t="str">
        <f ca="1">RESULTADOS!CA43</f>
        <v>N/D</v>
      </c>
      <c r="CX26" s="146" t="str">
        <f ca="1">RESULTADOS!CB43</f>
        <v>N/T</v>
      </c>
      <c r="CY26" s="146" t="str">
        <f ca="1">RESULTADOS!CC43</f>
        <v>N/T</v>
      </c>
      <c r="CZ26" s="146" t="str">
        <f ca="1">RESULTADOS!CD43</f>
        <v>N/T</v>
      </c>
      <c r="DA26" s="146" t="str">
        <f ca="1">RESULTADOS!CE43</f>
        <v>N/D</v>
      </c>
      <c r="DB26" s="146" t="str">
        <f ca="1">RESULTADOS!CF43</f>
        <v>N/T</v>
      </c>
      <c r="DC26" s="146" t="str">
        <f ca="1">RESULTADOS!CG43</f>
        <v>N/T</v>
      </c>
      <c r="DD26" s="146" t="str">
        <f ca="1">RESULTADOS!CH43</f>
        <v>N/T</v>
      </c>
      <c r="DE26" s="146" t="str">
        <f ca="1">RESULTADOS!CI43</f>
        <v>N/T</v>
      </c>
      <c r="DF26" s="146" t="str">
        <f ca="1">RESULTADOS!CJ43</f>
        <v>N/T</v>
      </c>
      <c r="DG26" s="146" t="str">
        <f ca="1">RESULTADOS!CK43</f>
        <v>N/T</v>
      </c>
      <c r="DH26" s="146" t="str">
        <f ca="1">RESULTADOS!CL43</f>
        <v>N/T</v>
      </c>
      <c r="DI26" s="146" t="str">
        <f ca="1">RESULTADOS!CM43</f>
        <v>N/T</v>
      </c>
      <c r="DJ26" s="146" t="str">
        <f ca="1">RESULTADOS!CN43</f>
        <v>N/T</v>
      </c>
      <c r="DK26" s="146" t="str">
        <f ca="1">RESULTADOS!CO43</f>
        <v>N/T</v>
      </c>
      <c r="DL26" s="146" t="str">
        <f ca="1">RESULTADOS!CP43</f>
        <v>N/T</v>
      </c>
      <c r="DM26" s="146" t="str">
        <f ca="1">RESULTADOS!CQ43</f>
        <v>N/T</v>
      </c>
      <c r="DN26" s="146" t="str">
        <f ca="1">RESULTADOS!CR43</f>
        <v>N/T</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n">
        <f>RESULTADOS!B44</f>
        <v>1.0</v>
      </c>
      <c r="U27" s="148" t="str">
        <f>RESULTADOS!C44</f>
        <v>Home - PortCastelló</v>
      </c>
      <c r="V27" s="148" t="str">
        <f t="shared" si="0"/>
        <v>Página web</v>
      </c>
      <c r="W27" s="148" t="str">
        <v/>
      </c>
      <c r="X27" s="148" t="str">
        <f>RESULTADOS!D44</f>
        <v>https://www.portcastello.com/</v>
      </c>
      <c r="Y27" s="148" t="n">
        <v>0.0</v>
      </c>
      <c r="Z27" s="237" t="str">
        <v>Ej. Imágenes, tablas, listas, multimedia, formularios, plantilla X, plantilla Y</v>
      </c>
      <c r="AA27" s="146" t="str">
        <f ca="1">RESULTADOS!E44</f>
        <v>N/T</v>
      </c>
      <c r="AB27" s="146" t="str">
        <f ca="1">RESULTADOS!F44</f>
        <v>N/T</v>
      </c>
      <c r="AC27" s="146" t="str">
        <f ca="1">RESULTADOS!G44</f>
        <v>N/T</v>
      </c>
      <c r="AD27" s="146" t="str">
        <f ca="1">RESULTADOS!H44</f>
        <v>N/T</v>
      </c>
      <c r="AE27" s="146" t="str">
        <f ca="1">RESULTADOS!I44</f>
        <v>N/T</v>
      </c>
      <c r="AF27" s="146" t="str">
        <f ca="1">RESULTADOS!J44</f>
        <v>N/T</v>
      </c>
      <c r="AG27" s="146" t="str">
        <f ca="1">RESULTADOS!K44</f>
        <v>N/T</v>
      </c>
      <c r="AH27" s="146" t="str">
        <f ca="1">RESULTADOS!L44</f>
        <v>N/T</v>
      </c>
      <c r="AI27" s="146" t="str">
        <f ca="1">RESULTADOS!M44</f>
        <v>N/T</v>
      </c>
      <c r="AJ27" s="146" t="str">
        <f ca="1">RESULTADOS!N44</f>
        <v>N/T</v>
      </c>
      <c r="AK27" s="146" t="str">
        <f ca="1">RESULTADOS!O44</f>
        <v>N/T</v>
      </c>
      <c r="AL27" s="146" t="str">
        <f ca="1">RESULTADOS!P44</f>
        <v>N/T</v>
      </c>
      <c r="AM27" s="146" t="str">
        <f ca="1">RESULTADOS!Q44</f>
        <v>N/T</v>
      </c>
      <c r="AN27" s="146" t="str">
        <f ca="1">RESULTADOS!R44</f>
        <v>N/T</v>
      </c>
      <c r="AO27" s="146" t="str">
        <f ca="1">RESULTADOS!S44</f>
        <v>N/T</v>
      </c>
      <c r="AP27" s="146" t="str">
        <f ca="1">RESULTADOS!T44</f>
        <v>N/T</v>
      </c>
      <c r="AQ27" s="146" t="str">
        <f ca="1">RESULTADOS!U44</f>
        <v>N/T</v>
      </c>
      <c r="AR27" s="146" t="str">
        <f ca="1">RESULTADOS!V44</f>
        <v>N/T</v>
      </c>
      <c r="AS27" s="146" t="str">
        <f ca="1">RESULTADOS!W44</f>
        <v>N/T</v>
      </c>
      <c r="AT27" s="146" t="str">
        <f ca="1">RESULTADOS!X44</f>
        <v>N/T</v>
      </c>
      <c r="AU27" s="146" t="str">
        <f ca="1">RESULTADOS!Y44</f>
        <v>N/T</v>
      </c>
      <c r="AV27" s="146" t="str">
        <f ca="1">RESULTADOS!Z44</f>
        <v>N/T</v>
      </c>
      <c r="AW27" s="146" t="str">
        <f ca="1">RESULTADOS!AA44</f>
        <v>N/T</v>
      </c>
      <c r="AX27" s="146" t="str">
        <f ca="1">RESULTADOS!AB44</f>
        <v>N/T</v>
      </c>
      <c r="AY27" s="146" t="str">
        <f ca="1">RESULTADOS!AC44</f>
        <v>N/T</v>
      </c>
      <c r="AZ27" s="146" t="str">
        <f ca="1">RESULTADOS!AD44</f>
        <v>N/T</v>
      </c>
      <c r="BA27" s="146" t="str">
        <f ca="1">RESULTADOS!AE44</f>
        <v>N/T</v>
      </c>
      <c r="BB27" s="146" t="str">
        <f ca="1">RESULTADOS!AF44</f>
        <v>N/T</v>
      </c>
      <c r="BC27" s="146" t="str">
        <f ca="1">RESULTADOS!AG44</f>
        <v>N/T</v>
      </c>
      <c r="BD27" s="146" t="str">
        <f ca="1">RESULTADOS!AH44</f>
        <v>N/T</v>
      </c>
      <c r="BE27" s="146" t="str">
        <f ca="1">RESULTADOS!AI44</f>
        <v>N/T</v>
      </c>
      <c r="BF27" s="146" t="str">
        <f ca="1">RESULTADOS!AJ44</f>
        <v>N/D</v>
      </c>
      <c r="BG27" s="146" t="str">
        <f ca="1">RESULTADOS!AK44</f>
        <v>N/T</v>
      </c>
      <c r="BH27" s="146" t="str">
        <f ca="1">RESULTADOS!AL44</f>
        <v>N/T</v>
      </c>
      <c r="BI27" s="146" t="str">
        <f ca="1">RESULTADOS!AM44</f>
        <v>N/T</v>
      </c>
      <c r="BJ27" s="146" t="str">
        <f ca="1">RESULTADOS!AN44</f>
        <v>N/T</v>
      </c>
      <c r="BK27" s="146" t="str">
        <f ca="1">RESULTADOS!AO44</f>
        <v>N/D</v>
      </c>
      <c r="BL27" s="146" t="str">
        <f ca="1">RESULTADOS!AP44</f>
        <v>N/T</v>
      </c>
      <c r="BM27" s="146" t="str">
        <f ca="1">RESULTADOS!AQ44</f>
        <v>N/T</v>
      </c>
      <c r="BN27" s="146" t="str">
        <f ca="1">RESULTADOS!AR44</f>
        <v>N/D</v>
      </c>
      <c r="BO27" s="146" t="str">
        <f ca="1">RESULTADOS!AS44</f>
        <v>N/D</v>
      </c>
      <c r="BP27" s="146" t="str">
        <f ca="1">RESULTADOS!AT44</f>
        <v>N/T</v>
      </c>
      <c r="BQ27" s="146" t="str">
        <f ca="1">RESULTADOS!AU44</f>
        <v>N/T</v>
      </c>
      <c r="BR27" s="146" t="str">
        <f ca="1">RESULTADOS!AV44</f>
        <v>N/D</v>
      </c>
      <c r="BS27" s="146" t="str">
        <f ca="1">RESULTADOS!AW44</f>
        <v>N/T</v>
      </c>
      <c r="BT27" s="146" t="str">
        <f ca="1">RESULTADOS!AX44</f>
        <v>N/T</v>
      </c>
      <c r="BU27" s="146" t="str">
        <f ca="1">RESULTADOS!AY44</f>
        <v>N/D</v>
      </c>
      <c r="BV27" s="146" t="str">
        <f ca="1">RESULTADOS!AZ44</f>
        <v>N/T</v>
      </c>
      <c r="BW27" s="146" t="str">
        <f ca="1">RESULTADOS!BA44</f>
        <v>N/D</v>
      </c>
      <c r="BX27" s="146" t="str">
        <f ca="1">RESULTADOS!BB44</f>
        <v>N/T</v>
      </c>
      <c r="BY27" s="146" t="str">
        <f ca="1">RESULTADOS!BC44</f>
        <v>N/D</v>
      </c>
      <c r="BZ27" s="146" t="str">
        <f ca="1">RESULTADOS!BD44</f>
        <v>N/T</v>
      </c>
      <c r="CA27" s="146" t="str">
        <f ca="1">RESULTADOS!BE44</f>
        <v>N/T</v>
      </c>
      <c r="CB27" s="146" t="str">
        <f ca="1">RESULTADOS!BF44</f>
        <v>N/D</v>
      </c>
      <c r="CC27" s="146" t="str">
        <f ca="1">RESULTADOS!BG44</f>
        <v>N/D</v>
      </c>
      <c r="CD27" s="146" t="str">
        <f ca="1">RESULTADOS!BH44</f>
        <v>N/T</v>
      </c>
      <c r="CE27" s="146" t="str">
        <f ca="1">RESULTADOS!BI44</f>
        <v>N/D</v>
      </c>
      <c r="CF27" s="146" t="str">
        <f ca="1">RESULTADOS!BJ44</f>
        <v>N/D</v>
      </c>
      <c r="CG27" s="146" t="str">
        <f ca="1">RESULTADOS!BK44</f>
        <v>N/D</v>
      </c>
      <c r="CH27" s="146" t="str">
        <f ca="1">RESULTADOS!BL44</f>
        <v>N/D</v>
      </c>
      <c r="CI27" s="146" t="str">
        <f ca="1">RESULTADOS!BM44</f>
        <v>N/D</v>
      </c>
      <c r="CJ27" s="146" t="str">
        <f ca="1">RESULTADOS!BN44</f>
        <v>N/T</v>
      </c>
      <c r="CK27" s="146" t="str">
        <f ca="1">RESULTADOS!BO44</f>
        <v>N/D</v>
      </c>
      <c r="CL27" s="146" t="str">
        <f ca="1">RESULTADOS!BP44</f>
        <v>N/T</v>
      </c>
      <c r="CM27" s="146" t="str">
        <f ca="1">RESULTADOS!BQ44</f>
        <v>N/T</v>
      </c>
      <c r="CN27" s="146" t="str">
        <f ca="1">RESULTADOS!BR44</f>
        <v>N/D</v>
      </c>
      <c r="CO27" s="146" t="str">
        <f ca="1">RESULTADOS!BS44</f>
        <v>N/T</v>
      </c>
      <c r="CP27" s="146" t="str">
        <f ca="1">RESULTADOS!BT44</f>
        <v>N/D</v>
      </c>
      <c r="CQ27" s="146" t="str">
        <f ca="1">RESULTADOS!BU44</f>
        <v>N/D</v>
      </c>
      <c r="CR27" s="146" t="str">
        <f ca="1">RESULTADOS!BV44</f>
        <v>N/D</v>
      </c>
      <c r="CS27" s="146" t="str">
        <f ca="1">RESULTADOS!BW44</f>
        <v>N/D</v>
      </c>
      <c r="CT27" s="146" t="str">
        <f ca="1">RESULTADOS!BX44</f>
        <v>N/D</v>
      </c>
      <c r="CU27" s="146" t="str">
        <f ca="1">RESULTADOS!BY44</f>
        <v>N/T</v>
      </c>
      <c r="CV27" s="146" t="str">
        <f ca="1">RESULTADOS!BZ44</f>
        <v>N/T</v>
      </c>
      <c r="CW27" s="146" t="str">
        <f ca="1">RESULTADOS!CA44</f>
        <v>N/D</v>
      </c>
      <c r="CX27" s="146" t="str">
        <f ca="1">RESULTADOS!CB44</f>
        <v>N/T</v>
      </c>
      <c r="CY27" s="146" t="str">
        <f ca="1">RESULTADOS!CC44</f>
        <v>N/T</v>
      </c>
      <c r="CZ27" s="146" t="str">
        <f ca="1">RESULTADOS!CD44</f>
        <v>N/T</v>
      </c>
      <c r="DA27" s="146" t="str">
        <f ca="1">RESULTADOS!CE44</f>
        <v>N/D</v>
      </c>
      <c r="DB27" s="146" t="str">
        <f ca="1">RESULTADOS!CF44</f>
        <v>N/T</v>
      </c>
      <c r="DC27" s="146" t="str">
        <f ca="1">RESULTADOS!CG44</f>
        <v>N/T</v>
      </c>
      <c r="DD27" s="146" t="str">
        <f ca="1">RESULTADOS!CH44</f>
        <v>N/T</v>
      </c>
      <c r="DE27" s="146" t="str">
        <f ca="1">RESULTADOS!CI44</f>
        <v>N/T</v>
      </c>
      <c r="DF27" s="146" t="str">
        <f ca="1">RESULTADOS!CJ44</f>
        <v>N/T</v>
      </c>
      <c r="DG27" s="146" t="str">
        <f ca="1">RESULTADOS!CK44</f>
        <v>N/T</v>
      </c>
      <c r="DH27" s="146" t="str">
        <f ca="1">RESULTADOS!CL44</f>
        <v>N/T</v>
      </c>
      <c r="DI27" s="146" t="str">
        <f ca="1">RESULTADOS!CM44</f>
        <v>N/T</v>
      </c>
      <c r="DJ27" s="146" t="str">
        <f ca="1">RESULTADOS!CN44</f>
        <v>N/T</v>
      </c>
      <c r="DK27" s="146" t="str">
        <f ca="1">RESULTADOS!CO44</f>
        <v>N/T</v>
      </c>
      <c r="DL27" s="146" t="str">
        <f ca="1">RESULTADOS!CP44</f>
        <v>N/T</v>
      </c>
      <c r="DM27" s="146" t="str">
        <f ca="1">RESULTADOS!CQ44</f>
        <v>N/T</v>
      </c>
      <c r="DN27" s="146" t="str">
        <f ca="1">RESULTADOS!CR44</f>
        <v>N/T</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145</v>
      </c>
      <c r="L28" s="149" t="str">
        <f>RESULTADOS!D14</f>
        <v>Evaluación en curso</v>
      </c>
      <c r="M28" s="149"/>
      <c r="T28" s="148" t="n">
        <f>RESULTADOS!B45</f>
        <v>1.0</v>
      </c>
      <c r="U28" s="148" t="str">
        <f>RESULTADOS!C45</f>
        <v>Home - PortCastelló</v>
      </c>
      <c r="V28" s="148" t="str">
        <f t="shared" si="0"/>
        <v>Página web</v>
      </c>
      <c r="W28" s="148" t="str">
        <v/>
      </c>
      <c r="X28" s="148" t="str">
        <f>RESULTADOS!D45</f>
        <v>https://www.portcastello.com/</v>
      </c>
      <c r="Y28" s="148" t="n">
        <v>0.0</v>
      </c>
      <c r="Z28" s="237" t="str">
        <v>Ej. Imágenes, tablas, listas, multimedia, formularios, plantilla X, plantilla Y</v>
      </c>
      <c r="AA28" s="146" t="str">
        <f ca="1">RESULTADOS!E45</f>
        <v>N/T</v>
      </c>
      <c r="AB28" s="146" t="str">
        <f ca="1">RESULTADOS!F45</f>
        <v>N/T</v>
      </c>
      <c r="AC28" s="146" t="str">
        <f ca="1">RESULTADOS!G45</f>
        <v>N/T</v>
      </c>
      <c r="AD28" s="146" t="str">
        <f ca="1">RESULTADOS!H45</f>
        <v>N/T</v>
      </c>
      <c r="AE28" s="146" t="str">
        <f ca="1">RESULTADOS!I45</f>
        <v>N/T</v>
      </c>
      <c r="AF28" s="146" t="str">
        <f ca="1">RESULTADOS!J45</f>
        <v>N/T</v>
      </c>
      <c r="AG28" s="146" t="str">
        <f ca="1">RESULTADOS!K45</f>
        <v>N/T</v>
      </c>
      <c r="AH28" s="146" t="str">
        <f ca="1">RESULTADOS!L45</f>
        <v>N/T</v>
      </c>
      <c r="AI28" s="146" t="str">
        <f ca="1">RESULTADOS!M45</f>
        <v>N/T</v>
      </c>
      <c r="AJ28" s="146" t="str">
        <f ca="1">RESULTADOS!N45</f>
        <v>N/T</v>
      </c>
      <c r="AK28" s="146" t="str">
        <f ca="1">RESULTADOS!O45</f>
        <v>N/T</v>
      </c>
      <c r="AL28" s="146" t="str">
        <f ca="1">RESULTADOS!P45</f>
        <v>N/T</v>
      </c>
      <c r="AM28" s="146" t="str">
        <f ca="1">RESULTADOS!Q45</f>
        <v>N/T</v>
      </c>
      <c r="AN28" s="146" t="str">
        <f ca="1">RESULTADOS!R45</f>
        <v>N/T</v>
      </c>
      <c r="AO28" s="146" t="str">
        <f ca="1">RESULTADOS!S45</f>
        <v>N/T</v>
      </c>
      <c r="AP28" s="146" t="str">
        <f ca="1">RESULTADOS!T45</f>
        <v>N/T</v>
      </c>
      <c r="AQ28" s="146" t="str">
        <f ca="1">RESULTADOS!U45</f>
        <v>N/T</v>
      </c>
      <c r="AR28" s="146" t="str">
        <f ca="1">RESULTADOS!V45</f>
        <v>N/T</v>
      </c>
      <c r="AS28" s="146" t="str">
        <f ca="1">RESULTADOS!W45</f>
        <v>N/T</v>
      </c>
      <c r="AT28" s="146" t="str">
        <f ca="1">RESULTADOS!X45</f>
        <v>N/T</v>
      </c>
      <c r="AU28" s="146" t="str">
        <f ca="1">RESULTADOS!Y45</f>
        <v>N/T</v>
      </c>
      <c r="AV28" s="146" t="str">
        <f ca="1">RESULTADOS!Z45</f>
        <v>N/T</v>
      </c>
      <c r="AW28" s="146" t="str">
        <f ca="1">RESULTADOS!AA45</f>
        <v>N/T</v>
      </c>
      <c r="AX28" s="146" t="str">
        <f ca="1">RESULTADOS!AB45</f>
        <v>N/T</v>
      </c>
      <c r="AY28" s="146" t="str">
        <f ca="1">RESULTADOS!AC45</f>
        <v>N/T</v>
      </c>
      <c r="AZ28" s="146" t="str">
        <f ca="1">RESULTADOS!AD45</f>
        <v>N/T</v>
      </c>
      <c r="BA28" s="146" t="str">
        <f ca="1">RESULTADOS!AE45</f>
        <v>N/T</v>
      </c>
      <c r="BB28" s="146" t="str">
        <f ca="1">RESULTADOS!AF45</f>
        <v>N/T</v>
      </c>
      <c r="BC28" s="146" t="str">
        <f ca="1">RESULTADOS!AG45</f>
        <v>N/T</v>
      </c>
      <c r="BD28" s="146" t="str">
        <f ca="1">RESULTADOS!AH45</f>
        <v>N/T</v>
      </c>
      <c r="BE28" s="146" t="str">
        <f ca="1">RESULTADOS!AI45</f>
        <v>N/T</v>
      </c>
      <c r="BF28" s="146" t="str">
        <f ca="1">RESULTADOS!AJ45</f>
        <v>N/D</v>
      </c>
      <c r="BG28" s="146" t="str">
        <f ca="1">RESULTADOS!AK45</f>
        <v>N/T</v>
      </c>
      <c r="BH28" s="146" t="str">
        <f ca="1">RESULTADOS!AL45</f>
        <v>N/T</v>
      </c>
      <c r="BI28" s="146" t="str">
        <f ca="1">RESULTADOS!AM45</f>
        <v>N/T</v>
      </c>
      <c r="BJ28" s="146" t="str">
        <f ca="1">RESULTADOS!AN45</f>
        <v>N/T</v>
      </c>
      <c r="BK28" s="146" t="str">
        <f ca="1">RESULTADOS!AO45</f>
        <v>N/D</v>
      </c>
      <c r="BL28" s="146" t="str">
        <f ca="1">RESULTADOS!AP45</f>
        <v>N/T</v>
      </c>
      <c r="BM28" s="146" t="str">
        <f ca="1">RESULTADOS!AQ45</f>
        <v>N/T</v>
      </c>
      <c r="BN28" s="146" t="str">
        <f ca="1">RESULTADOS!AR45</f>
        <v>N/D</v>
      </c>
      <c r="BO28" s="146" t="str">
        <f ca="1">RESULTADOS!AS45</f>
        <v>N/D</v>
      </c>
      <c r="BP28" s="146" t="str">
        <f ca="1">RESULTADOS!AT45</f>
        <v>N/T</v>
      </c>
      <c r="BQ28" s="146" t="str">
        <f ca="1">RESULTADOS!AU45</f>
        <v>N/T</v>
      </c>
      <c r="BR28" s="146" t="str">
        <f ca="1">RESULTADOS!AV45</f>
        <v>N/D</v>
      </c>
      <c r="BS28" s="146" t="str">
        <f ca="1">RESULTADOS!AW45</f>
        <v>N/T</v>
      </c>
      <c r="BT28" s="146" t="str">
        <f ca="1">RESULTADOS!AX45</f>
        <v>N/T</v>
      </c>
      <c r="BU28" s="146" t="str">
        <f ca="1">RESULTADOS!AY45</f>
        <v>N/D</v>
      </c>
      <c r="BV28" s="146" t="str">
        <f ca="1">RESULTADOS!AZ45</f>
        <v>N/T</v>
      </c>
      <c r="BW28" s="146" t="str">
        <f ca="1">RESULTADOS!BA45</f>
        <v>N/D</v>
      </c>
      <c r="BX28" s="146" t="str">
        <f ca="1">RESULTADOS!BB45</f>
        <v>N/T</v>
      </c>
      <c r="BY28" s="146" t="str">
        <f ca="1">RESULTADOS!BC45</f>
        <v>N/D</v>
      </c>
      <c r="BZ28" s="146" t="str">
        <f ca="1">RESULTADOS!BD45</f>
        <v>N/T</v>
      </c>
      <c r="CA28" s="146" t="str">
        <f ca="1">RESULTADOS!BE45</f>
        <v>N/T</v>
      </c>
      <c r="CB28" s="146" t="str">
        <f ca="1">RESULTADOS!BF45</f>
        <v>N/D</v>
      </c>
      <c r="CC28" s="146" t="str">
        <f ca="1">RESULTADOS!BG45</f>
        <v>N/D</v>
      </c>
      <c r="CD28" s="146" t="str">
        <f ca="1">RESULTADOS!BH45</f>
        <v>N/T</v>
      </c>
      <c r="CE28" s="146" t="str">
        <f ca="1">RESULTADOS!BI45</f>
        <v>N/D</v>
      </c>
      <c r="CF28" s="146" t="str">
        <f ca="1">RESULTADOS!BJ45</f>
        <v>N/D</v>
      </c>
      <c r="CG28" s="146" t="str">
        <f ca="1">RESULTADOS!BK45</f>
        <v>N/D</v>
      </c>
      <c r="CH28" s="146" t="str">
        <f ca="1">RESULTADOS!BL45</f>
        <v>N/D</v>
      </c>
      <c r="CI28" s="146" t="str">
        <f ca="1">RESULTADOS!BM45</f>
        <v>N/D</v>
      </c>
      <c r="CJ28" s="146" t="str">
        <f ca="1">RESULTADOS!BN45</f>
        <v>N/T</v>
      </c>
      <c r="CK28" s="146" t="str">
        <f ca="1">RESULTADOS!BO45</f>
        <v>N/D</v>
      </c>
      <c r="CL28" s="146" t="str">
        <f ca="1">RESULTADOS!BP45</f>
        <v>N/T</v>
      </c>
      <c r="CM28" s="146" t="str">
        <f ca="1">RESULTADOS!BQ45</f>
        <v>N/T</v>
      </c>
      <c r="CN28" s="146" t="str">
        <f ca="1">RESULTADOS!BR45</f>
        <v>N/D</v>
      </c>
      <c r="CO28" s="146" t="str">
        <f ca="1">RESULTADOS!BS45</f>
        <v>N/T</v>
      </c>
      <c r="CP28" s="146" t="str">
        <f ca="1">RESULTADOS!BT45</f>
        <v>N/D</v>
      </c>
      <c r="CQ28" s="146" t="str">
        <f ca="1">RESULTADOS!BU45</f>
        <v>N/D</v>
      </c>
      <c r="CR28" s="146" t="str">
        <f ca="1">RESULTADOS!BV45</f>
        <v>N/D</v>
      </c>
      <c r="CS28" s="146" t="str">
        <f ca="1">RESULTADOS!BW45</f>
        <v>N/D</v>
      </c>
      <c r="CT28" s="146" t="str">
        <f ca="1">RESULTADOS!BX45</f>
        <v>N/D</v>
      </c>
      <c r="CU28" s="146" t="str">
        <f ca="1">RESULTADOS!BY45</f>
        <v>N/T</v>
      </c>
      <c r="CV28" s="146" t="str">
        <f ca="1">RESULTADOS!BZ45</f>
        <v>N/T</v>
      </c>
      <c r="CW28" s="146" t="str">
        <f ca="1">RESULTADOS!CA45</f>
        <v>N/D</v>
      </c>
      <c r="CX28" s="146" t="str">
        <f ca="1">RESULTADOS!CB45</f>
        <v>N/T</v>
      </c>
      <c r="CY28" s="146" t="str">
        <f ca="1">RESULTADOS!CC45</f>
        <v>N/T</v>
      </c>
      <c r="CZ28" s="146" t="str">
        <f ca="1">RESULTADOS!CD45</f>
        <v>N/T</v>
      </c>
      <c r="DA28" s="146" t="str">
        <f ca="1">RESULTADOS!CE45</f>
        <v>N/D</v>
      </c>
      <c r="DB28" s="146" t="str">
        <f ca="1">RESULTADOS!CF45</f>
        <v>N/T</v>
      </c>
      <c r="DC28" s="146" t="str">
        <f ca="1">RESULTADOS!CG45</f>
        <v>N/T</v>
      </c>
      <c r="DD28" s="146" t="str">
        <f ca="1">RESULTADOS!CH45</f>
        <v>N/T</v>
      </c>
      <c r="DE28" s="146" t="str">
        <f ca="1">RESULTADOS!CI45</f>
        <v>N/T</v>
      </c>
      <c r="DF28" s="146" t="str">
        <f ca="1">RESULTADOS!CJ45</f>
        <v>N/T</v>
      </c>
      <c r="DG28" s="146" t="str">
        <f ca="1">RESULTADOS!CK45</f>
        <v>N/T</v>
      </c>
      <c r="DH28" s="146" t="str">
        <f ca="1">RESULTADOS!CL45</f>
        <v>N/T</v>
      </c>
      <c r="DI28" s="146" t="str">
        <f ca="1">RESULTADOS!CM45</f>
        <v>N/T</v>
      </c>
      <c r="DJ28" s="146" t="str">
        <f ca="1">RESULTADOS!CN45</f>
        <v>N/T</v>
      </c>
      <c r="DK28" s="146" t="str">
        <f ca="1">RESULTADOS!CO45</f>
        <v>N/T</v>
      </c>
      <c r="DL28" s="146" t="str">
        <f ca="1">RESULTADOS!CP45</f>
        <v>N/T</v>
      </c>
      <c r="DM28" s="146" t="str">
        <f ca="1">RESULTADOS!CQ45</f>
        <v>N/T</v>
      </c>
      <c r="DN28" s="146" t="str">
        <f ca="1">RESULTADOS!CR45</f>
        <v>N/T</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146</v>
      </c>
      <c r="D29" s="147" t="n">
        <f>'01.Definición de ámbito'!C58</f>
        <v>0.0</v>
      </c>
      <c r="K29" s="40" t="s">
        <v>350</v>
      </c>
      <c r="L29" s="150" t="str">
        <f>RESULTADOS!F14</f>
        <v/>
      </c>
      <c r="T29" s="148" t="n">
        <f>RESULTADOS!B46</f>
        <v>1.0</v>
      </c>
      <c r="U29" s="148" t="str">
        <f>RESULTADOS!C46</f>
        <v>Home - PortCastelló</v>
      </c>
      <c r="V29" s="148" t="str">
        <f t="shared" si="0"/>
        <v>Página web</v>
      </c>
      <c r="W29" s="148" t="str">
        <v/>
      </c>
      <c r="X29" s="148" t="str">
        <f>RESULTADOS!D46</f>
        <v>https://www.portcastello.com/</v>
      </c>
      <c r="Y29" s="148" t="n">
        <v>0.0</v>
      </c>
      <c r="Z29" s="237" t="str">
        <v>Ej. Imágenes, tablas, listas, multimedia, formularios, plantilla X, plantilla Y</v>
      </c>
      <c r="AA29" s="146" t="str">
        <f ca="1">RESULTADOS!E46</f>
        <v>N/T</v>
      </c>
      <c r="AB29" s="146" t="str">
        <f ca="1">RESULTADOS!F46</f>
        <v>N/T</v>
      </c>
      <c r="AC29" s="146" t="str">
        <f ca="1">RESULTADOS!G46</f>
        <v>N/T</v>
      </c>
      <c r="AD29" s="146" t="str">
        <f ca="1">RESULTADOS!H46</f>
        <v>N/T</v>
      </c>
      <c r="AE29" s="146" t="str">
        <f ca="1">RESULTADOS!I46</f>
        <v>N/T</v>
      </c>
      <c r="AF29" s="146" t="str">
        <f ca="1">RESULTADOS!J46</f>
        <v>N/T</v>
      </c>
      <c r="AG29" s="146" t="str">
        <f ca="1">RESULTADOS!K46</f>
        <v>N/T</v>
      </c>
      <c r="AH29" s="146" t="str">
        <f ca="1">RESULTADOS!L46</f>
        <v>N/T</v>
      </c>
      <c r="AI29" s="146" t="str">
        <f ca="1">RESULTADOS!M46</f>
        <v>N/T</v>
      </c>
      <c r="AJ29" s="146" t="str">
        <f ca="1">RESULTADOS!N46</f>
        <v>N/T</v>
      </c>
      <c r="AK29" s="146" t="str">
        <f ca="1">RESULTADOS!O46</f>
        <v>N/T</v>
      </c>
      <c r="AL29" s="146" t="str">
        <f ca="1">RESULTADOS!P46</f>
        <v>N/T</v>
      </c>
      <c r="AM29" s="146" t="str">
        <f ca="1">RESULTADOS!Q46</f>
        <v>N/T</v>
      </c>
      <c r="AN29" s="146" t="str">
        <f ca="1">RESULTADOS!R46</f>
        <v>N/T</v>
      </c>
      <c r="AO29" s="146" t="str">
        <f ca="1">RESULTADOS!S46</f>
        <v>N/T</v>
      </c>
      <c r="AP29" s="146" t="str">
        <f ca="1">RESULTADOS!T46</f>
        <v>N/T</v>
      </c>
      <c r="AQ29" s="146" t="str">
        <f ca="1">RESULTADOS!U46</f>
        <v>N/T</v>
      </c>
      <c r="AR29" s="146" t="str">
        <f ca="1">RESULTADOS!V46</f>
        <v>N/T</v>
      </c>
      <c r="AS29" s="146" t="str">
        <f ca="1">RESULTADOS!W46</f>
        <v>N/T</v>
      </c>
      <c r="AT29" s="146" t="str">
        <f ca="1">RESULTADOS!X46</f>
        <v>N/T</v>
      </c>
      <c r="AU29" s="146" t="str">
        <f ca="1">RESULTADOS!Y46</f>
        <v>N/T</v>
      </c>
      <c r="AV29" s="146" t="str">
        <f ca="1">RESULTADOS!Z46</f>
        <v>N/T</v>
      </c>
      <c r="AW29" s="146" t="str">
        <f ca="1">RESULTADOS!AA46</f>
        <v>N/T</v>
      </c>
      <c r="AX29" s="146" t="str">
        <f ca="1">RESULTADOS!AB46</f>
        <v>N/T</v>
      </c>
      <c r="AY29" s="146" t="str">
        <f ca="1">RESULTADOS!AC46</f>
        <v>N/T</v>
      </c>
      <c r="AZ29" s="146" t="str">
        <f ca="1">RESULTADOS!AD46</f>
        <v>N/T</v>
      </c>
      <c r="BA29" s="146" t="str">
        <f ca="1">RESULTADOS!AE46</f>
        <v>N/T</v>
      </c>
      <c r="BB29" s="146" t="str">
        <f ca="1">RESULTADOS!AF46</f>
        <v>N/T</v>
      </c>
      <c r="BC29" s="146" t="str">
        <f ca="1">RESULTADOS!AG46</f>
        <v>N/T</v>
      </c>
      <c r="BD29" s="146" t="str">
        <f ca="1">RESULTADOS!AH46</f>
        <v>N/T</v>
      </c>
      <c r="BE29" s="146" t="str">
        <f ca="1">RESULTADOS!AI46</f>
        <v>N/T</v>
      </c>
      <c r="BF29" s="146" t="str">
        <f ca="1">RESULTADOS!AJ46</f>
        <v>N/D</v>
      </c>
      <c r="BG29" s="146" t="str">
        <f ca="1">RESULTADOS!AK46</f>
        <v>N/T</v>
      </c>
      <c r="BH29" s="146" t="str">
        <f ca="1">RESULTADOS!AL46</f>
        <v>N/T</v>
      </c>
      <c r="BI29" s="146" t="str">
        <f ca="1">RESULTADOS!AM46</f>
        <v>N/T</v>
      </c>
      <c r="BJ29" s="146" t="str">
        <f ca="1">RESULTADOS!AN46</f>
        <v>N/T</v>
      </c>
      <c r="BK29" s="146" t="str">
        <f ca="1">RESULTADOS!AO46</f>
        <v>N/D</v>
      </c>
      <c r="BL29" s="146" t="str">
        <f ca="1">RESULTADOS!AP46</f>
        <v>N/T</v>
      </c>
      <c r="BM29" s="146" t="str">
        <f ca="1">RESULTADOS!AQ46</f>
        <v>N/T</v>
      </c>
      <c r="BN29" s="146" t="str">
        <f ca="1">RESULTADOS!AR46</f>
        <v>N/D</v>
      </c>
      <c r="BO29" s="146" t="str">
        <f ca="1">RESULTADOS!AS46</f>
        <v>N/D</v>
      </c>
      <c r="BP29" s="146" t="str">
        <f ca="1">RESULTADOS!AT46</f>
        <v>N/T</v>
      </c>
      <c r="BQ29" s="146" t="str">
        <f ca="1">RESULTADOS!AU46</f>
        <v>N/T</v>
      </c>
      <c r="BR29" s="146" t="str">
        <f ca="1">RESULTADOS!AV46</f>
        <v>N/D</v>
      </c>
      <c r="BS29" s="146" t="str">
        <f ca="1">RESULTADOS!AW46</f>
        <v>N/T</v>
      </c>
      <c r="BT29" s="146" t="str">
        <f ca="1">RESULTADOS!AX46</f>
        <v>N/T</v>
      </c>
      <c r="BU29" s="146" t="str">
        <f ca="1">RESULTADOS!AY46</f>
        <v>N/D</v>
      </c>
      <c r="BV29" s="146" t="str">
        <f ca="1">RESULTADOS!AZ46</f>
        <v>N/T</v>
      </c>
      <c r="BW29" s="146" t="str">
        <f ca="1">RESULTADOS!BA46</f>
        <v>N/D</v>
      </c>
      <c r="BX29" s="146" t="str">
        <f ca="1">RESULTADOS!BB46</f>
        <v>N/T</v>
      </c>
      <c r="BY29" s="146" t="str">
        <f ca="1">RESULTADOS!BC46</f>
        <v>N/D</v>
      </c>
      <c r="BZ29" s="146" t="str">
        <f ca="1">RESULTADOS!BD46</f>
        <v>N/T</v>
      </c>
      <c r="CA29" s="146" t="str">
        <f ca="1">RESULTADOS!BE46</f>
        <v>N/T</v>
      </c>
      <c r="CB29" s="146" t="str">
        <f ca="1">RESULTADOS!BF46</f>
        <v>N/D</v>
      </c>
      <c r="CC29" s="146" t="str">
        <f ca="1">RESULTADOS!BG46</f>
        <v>N/D</v>
      </c>
      <c r="CD29" s="146" t="str">
        <f ca="1">RESULTADOS!BH46</f>
        <v>N/T</v>
      </c>
      <c r="CE29" s="146" t="str">
        <f ca="1">RESULTADOS!BI46</f>
        <v>N/D</v>
      </c>
      <c r="CF29" s="146" t="str">
        <f ca="1">RESULTADOS!BJ46</f>
        <v>N/D</v>
      </c>
      <c r="CG29" s="146" t="str">
        <f ca="1">RESULTADOS!BK46</f>
        <v>N/D</v>
      </c>
      <c r="CH29" s="146" t="str">
        <f ca="1">RESULTADOS!BL46</f>
        <v>N/D</v>
      </c>
      <c r="CI29" s="146" t="str">
        <f ca="1">RESULTADOS!BM46</f>
        <v>N/D</v>
      </c>
      <c r="CJ29" s="146" t="str">
        <f ca="1">RESULTADOS!BN46</f>
        <v>N/T</v>
      </c>
      <c r="CK29" s="146" t="str">
        <f ca="1">RESULTADOS!BO46</f>
        <v>N/D</v>
      </c>
      <c r="CL29" s="146" t="str">
        <f ca="1">RESULTADOS!BP46</f>
        <v>N/T</v>
      </c>
      <c r="CM29" s="146" t="str">
        <f ca="1">RESULTADOS!BQ46</f>
        <v>N/T</v>
      </c>
      <c r="CN29" s="146" t="str">
        <f ca="1">RESULTADOS!BR46</f>
        <v>N/D</v>
      </c>
      <c r="CO29" s="146" t="str">
        <f ca="1">RESULTADOS!BS46</f>
        <v>N/T</v>
      </c>
      <c r="CP29" s="146" t="str">
        <f ca="1">RESULTADOS!BT46</f>
        <v>N/D</v>
      </c>
      <c r="CQ29" s="146" t="str">
        <f ca="1">RESULTADOS!BU46</f>
        <v>N/D</v>
      </c>
      <c r="CR29" s="146" t="str">
        <f ca="1">RESULTADOS!BV46</f>
        <v>N/D</v>
      </c>
      <c r="CS29" s="146" t="str">
        <f ca="1">RESULTADOS!BW46</f>
        <v>N/D</v>
      </c>
      <c r="CT29" s="146" t="str">
        <f ca="1">RESULTADOS!BX46</f>
        <v>N/D</v>
      </c>
      <c r="CU29" s="146" t="str">
        <f ca="1">RESULTADOS!BY46</f>
        <v>N/T</v>
      </c>
      <c r="CV29" s="146" t="str">
        <f ca="1">RESULTADOS!BZ46</f>
        <v>N/T</v>
      </c>
      <c r="CW29" s="146" t="str">
        <f ca="1">RESULTADOS!CA46</f>
        <v>N/D</v>
      </c>
      <c r="CX29" s="146" t="str">
        <f ca="1">RESULTADOS!CB46</f>
        <v>N/T</v>
      </c>
      <c r="CY29" s="146" t="str">
        <f ca="1">RESULTADOS!CC46</f>
        <v>N/T</v>
      </c>
      <c r="CZ29" s="146" t="str">
        <f ca="1">RESULTADOS!CD46</f>
        <v>N/T</v>
      </c>
      <c r="DA29" s="146" t="str">
        <f ca="1">RESULTADOS!CE46</f>
        <v>N/D</v>
      </c>
      <c r="DB29" s="146" t="str">
        <f ca="1">RESULTADOS!CF46</f>
        <v>N/T</v>
      </c>
      <c r="DC29" s="146" t="str">
        <f ca="1">RESULTADOS!CG46</f>
        <v>N/T</v>
      </c>
      <c r="DD29" s="146" t="str">
        <f ca="1">RESULTADOS!CH46</f>
        <v>N/T</v>
      </c>
      <c r="DE29" s="146" t="str">
        <f ca="1">RESULTADOS!CI46</f>
        <v>N/T</v>
      </c>
      <c r="DF29" s="146" t="str">
        <f ca="1">RESULTADOS!CJ46</f>
        <v>N/T</v>
      </c>
      <c r="DG29" s="146" t="str">
        <f ca="1">RESULTADOS!CK46</f>
        <v>N/T</v>
      </c>
      <c r="DH29" s="146" t="str">
        <f ca="1">RESULTADOS!CL46</f>
        <v>N/T</v>
      </c>
      <c r="DI29" s="146" t="str">
        <f ca="1">RESULTADOS!CM46</f>
        <v>N/T</v>
      </c>
      <c r="DJ29" s="146" t="str">
        <f ca="1">RESULTADOS!CN46</f>
        <v>N/T</v>
      </c>
      <c r="DK29" s="146" t="str">
        <f ca="1">RESULTADOS!CO46</f>
        <v>N/T</v>
      </c>
      <c r="DL29" s="146" t="str">
        <f ca="1">RESULTADOS!CP46</f>
        <v>N/T</v>
      </c>
      <c r="DM29" s="146" t="str">
        <f ca="1">RESULTADOS!CQ46</f>
        <v>N/T</v>
      </c>
      <c r="DN29" s="146" t="str">
        <f ca="1">RESULTADOS!CR46</f>
        <v>N/T</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n">
        <f>'01.Definición de ámbito'!C60</f>
        <v>0.0</v>
      </c>
      <c r="T30" s="148" t="n">
        <f>RESULTADOS!B47</f>
        <v>1.0</v>
      </c>
      <c r="U30" s="148" t="str">
        <f>RESULTADOS!C47</f>
        <v>Home - PortCastelló</v>
      </c>
      <c r="V30" s="148" t="str">
        <f t="shared" si="0"/>
        <v>Página web</v>
      </c>
      <c r="W30" s="148" t="str">
        <v/>
      </c>
      <c r="X30" s="148" t="str">
        <f>RESULTADOS!D47</f>
        <v>https://www.portcastello.com/</v>
      </c>
      <c r="Y30" s="148" t="n">
        <v>0.0</v>
      </c>
      <c r="Z30" s="237" t="str">
        <v>Ej. Imágenes, tablas, listas, multimedia, formularios, plantilla X, plantilla Y</v>
      </c>
      <c r="AA30" s="146" t="str">
        <f ca="1">RESULTADOS!E47</f>
        <v>N/T</v>
      </c>
      <c r="AB30" s="146" t="str">
        <f ca="1">RESULTADOS!F47</f>
        <v>N/T</v>
      </c>
      <c r="AC30" s="146" t="str">
        <f ca="1">RESULTADOS!G47</f>
        <v>N/T</v>
      </c>
      <c r="AD30" s="146" t="str">
        <f ca="1">RESULTADOS!H47</f>
        <v>N/T</v>
      </c>
      <c r="AE30" s="146" t="str">
        <f ca="1">RESULTADOS!I47</f>
        <v>N/T</v>
      </c>
      <c r="AF30" s="146" t="str">
        <f ca="1">RESULTADOS!J47</f>
        <v>N/T</v>
      </c>
      <c r="AG30" s="146" t="str">
        <f ca="1">RESULTADOS!K47</f>
        <v>N/T</v>
      </c>
      <c r="AH30" s="146" t="str">
        <f ca="1">RESULTADOS!L47</f>
        <v>N/T</v>
      </c>
      <c r="AI30" s="146" t="str">
        <f ca="1">RESULTADOS!M47</f>
        <v>N/T</v>
      </c>
      <c r="AJ30" s="146" t="str">
        <f ca="1">RESULTADOS!N47</f>
        <v>N/T</v>
      </c>
      <c r="AK30" s="146" t="str">
        <f ca="1">RESULTADOS!O47</f>
        <v>N/T</v>
      </c>
      <c r="AL30" s="146" t="str">
        <f ca="1">RESULTADOS!P47</f>
        <v>N/T</v>
      </c>
      <c r="AM30" s="146" t="str">
        <f ca="1">RESULTADOS!Q47</f>
        <v>N/T</v>
      </c>
      <c r="AN30" s="146" t="str">
        <f ca="1">RESULTADOS!R47</f>
        <v>N/T</v>
      </c>
      <c r="AO30" s="146" t="str">
        <f ca="1">RESULTADOS!S47</f>
        <v>N/T</v>
      </c>
      <c r="AP30" s="146" t="str">
        <f ca="1">RESULTADOS!T47</f>
        <v>N/T</v>
      </c>
      <c r="AQ30" s="146" t="str">
        <f ca="1">RESULTADOS!U47</f>
        <v>N/T</v>
      </c>
      <c r="AR30" s="146" t="str">
        <f ca="1">RESULTADOS!V47</f>
        <v>N/T</v>
      </c>
      <c r="AS30" s="146" t="str">
        <f ca="1">RESULTADOS!W47</f>
        <v>N/T</v>
      </c>
      <c r="AT30" s="146" t="str">
        <f ca="1">RESULTADOS!X47</f>
        <v>N/T</v>
      </c>
      <c r="AU30" s="146" t="str">
        <f ca="1">RESULTADOS!Y47</f>
        <v>N/T</v>
      </c>
      <c r="AV30" s="146" t="str">
        <f ca="1">RESULTADOS!Z47</f>
        <v>N/T</v>
      </c>
      <c r="AW30" s="146" t="str">
        <f ca="1">RESULTADOS!AA47</f>
        <v>N/T</v>
      </c>
      <c r="AX30" s="146" t="str">
        <f ca="1">RESULTADOS!AB47</f>
        <v>N/T</v>
      </c>
      <c r="AY30" s="146" t="str">
        <f ca="1">RESULTADOS!AC47</f>
        <v>N/T</v>
      </c>
      <c r="AZ30" s="146" t="str">
        <f ca="1">RESULTADOS!AD47</f>
        <v>N/T</v>
      </c>
      <c r="BA30" s="146" t="str">
        <f ca="1">RESULTADOS!AE47</f>
        <v>N/T</v>
      </c>
      <c r="BB30" s="146" t="str">
        <f ca="1">RESULTADOS!AF47</f>
        <v>N/T</v>
      </c>
      <c r="BC30" s="146" t="str">
        <f ca="1">RESULTADOS!AG47</f>
        <v>N/T</v>
      </c>
      <c r="BD30" s="146" t="str">
        <f ca="1">RESULTADOS!AH47</f>
        <v>N/T</v>
      </c>
      <c r="BE30" s="146" t="str">
        <f ca="1">RESULTADOS!AI47</f>
        <v>N/T</v>
      </c>
      <c r="BF30" s="146" t="str">
        <f ca="1">RESULTADOS!AJ47</f>
        <v>N/D</v>
      </c>
      <c r="BG30" s="146" t="str">
        <f ca="1">RESULTADOS!AK47</f>
        <v>N/T</v>
      </c>
      <c r="BH30" s="146" t="str">
        <f ca="1">RESULTADOS!AL47</f>
        <v>N/T</v>
      </c>
      <c r="BI30" s="146" t="str">
        <f ca="1">RESULTADOS!AM47</f>
        <v>N/T</v>
      </c>
      <c r="BJ30" s="146" t="str">
        <f ca="1">RESULTADOS!AN47</f>
        <v>N/T</v>
      </c>
      <c r="BK30" s="146" t="str">
        <f ca="1">RESULTADOS!AO47</f>
        <v>N/D</v>
      </c>
      <c r="BL30" s="146" t="str">
        <f ca="1">RESULTADOS!AP47</f>
        <v>N/T</v>
      </c>
      <c r="BM30" s="146" t="str">
        <f ca="1">RESULTADOS!AQ47</f>
        <v>N/T</v>
      </c>
      <c r="BN30" s="146" t="str">
        <f ca="1">RESULTADOS!AR47</f>
        <v>N/D</v>
      </c>
      <c r="BO30" s="146" t="str">
        <f ca="1">RESULTADOS!AS47</f>
        <v>N/D</v>
      </c>
      <c r="BP30" s="146" t="str">
        <f ca="1">RESULTADOS!AT47</f>
        <v>N/T</v>
      </c>
      <c r="BQ30" s="146" t="str">
        <f ca="1">RESULTADOS!AU47</f>
        <v>N/T</v>
      </c>
      <c r="BR30" s="146" t="str">
        <f ca="1">RESULTADOS!AV47</f>
        <v>N/D</v>
      </c>
      <c r="BS30" s="146" t="str">
        <f ca="1">RESULTADOS!AW47</f>
        <v>N/T</v>
      </c>
      <c r="BT30" s="146" t="str">
        <f ca="1">RESULTADOS!AX47</f>
        <v>N/T</v>
      </c>
      <c r="BU30" s="146" t="str">
        <f ca="1">RESULTADOS!AY47</f>
        <v>N/D</v>
      </c>
      <c r="BV30" s="146" t="str">
        <f ca="1">RESULTADOS!AZ47</f>
        <v>N/T</v>
      </c>
      <c r="BW30" s="146" t="str">
        <f ca="1">RESULTADOS!BA47</f>
        <v>N/D</v>
      </c>
      <c r="BX30" s="146" t="str">
        <f ca="1">RESULTADOS!BB47</f>
        <v>N/T</v>
      </c>
      <c r="BY30" s="146" t="str">
        <f ca="1">RESULTADOS!BC47</f>
        <v>N/D</v>
      </c>
      <c r="BZ30" s="146" t="str">
        <f ca="1">RESULTADOS!BD47</f>
        <v>N/T</v>
      </c>
      <c r="CA30" s="146" t="str">
        <f ca="1">RESULTADOS!BE47</f>
        <v>N/T</v>
      </c>
      <c r="CB30" s="146" t="str">
        <f ca="1">RESULTADOS!BF47</f>
        <v>N/D</v>
      </c>
      <c r="CC30" s="146" t="str">
        <f ca="1">RESULTADOS!BG47</f>
        <v>N/D</v>
      </c>
      <c r="CD30" s="146" t="str">
        <f ca="1">RESULTADOS!BH47</f>
        <v>N/T</v>
      </c>
      <c r="CE30" s="146" t="str">
        <f ca="1">RESULTADOS!BI47</f>
        <v>N/D</v>
      </c>
      <c r="CF30" s="146" t="str">
        <f ca="1">RESULTADOS!BJ47</f>
        <v>N/D</v>
      </c>
      <c r="CG30" s="146" t="str">
        <f ca="1">RESULTADOS!BK47</f>
        <v>N/D</v>
      </c>
      <c r="CH30" s="146" t="str">
        <f ca="1">RESULTADOS!BL47</f>
        <v>N/D</v>
      </c>
      <c r="CI30" s="146" t="str">
        <f ca="1">RESULTADOS!BM47</f>
        <v>N/D</v>
      </c>
      <c r="CJ30" s="146" t="str">
        <f ca="1">RESULTADOS!BN47</f>
        <v>N/T</v>
      </c>
      <c r="CK30" s="146" t="str">
        <f ca="1">RESULTADOS!BO47</f>
        <v>N/D</v>
      </c>
      <c r="CL30" s="146" t="str">
        <f ca="1">RESULTADOS!BP47</f>
        <v>N/T</v>
      </c>
      <c r="CM30" s="146" t="str">
        <f ca="1">RESULTADOS!BQ47</f>
        <v>N/T</v>
      </c>
      <c r="CN30" s="146" t="str">
        <f ca="1">RESULTADOS!BR47</f>
        <v>N/D</v>
      </c>
      <c r="CO30" s="146" t="str">
        <f ca="1">RESULTADOS!BS47</f>
        <v>N/T</v>
      </c>
      <c r="CP30" s="146" t="str">
        <f ca="1">RESULTADOS!BT47</f>
        <v>N/D</v>
      </c>
      <c r="CQ30" s="146" t="str">
        <f ca="1">RESULTADOS!BU47</f>
        <v>N/D</v>
      </c>
      <c r="CR30" s="146" t="str">
        <f ca="1">RESULTADOS!BV47</f>
        <v>N/D</v>
      </c>
      <c r="CS30" s="146" t="str">
        <f ca="1">RESULTADOS!BW47</f>
        <v>N/D</v>
      </c>
      <c r="CT30" s="146" t="str">
        <f ca="1">RESULTADOS!BX47</f>
        <v>N/D</v>
      </c>
      <c r="CU30" s="146" t="str">
        <f ca="1">RESULTADOS!BY47</f>
        <v>N/T</v>
      </c>
      <c r="CV30" s="146" t="str">
        <f ca="1">RESULTADOS!BZ47</f>
        <v>N/T</v>
      </c>
      <c r="CW30" s="146" t="str">
        <f ca="1">RESULTADOS!CA47</f>
        <v>N/D</v>
      </c>
      <c r="CX30" s="146" t="str">
        <f ca="1">RESULTADOS!CB47</f>
        <v>N/T</v>
      </c>
      <c r="CY30" s="146" t="str">
        <f ca="1">RESULTADOS!CC47</f>
        <v>N/T</v>
      </c>
      <c r="CZ30" s="146" t="str">
        <f ca="1">RESULTADOS!CD47</f>
        <v>N/T</v>
      </c>
      <c r="DA30" s="146" t="str">
        <f ca="1">RESULTADOS!CE47</f>
        <v>N/D</v>
      </c>
      <c r="DB30" s="146" t="str">
        <f ca="1">RESULTADOS!CF47</f>
        <v>N/T</v>
      </c>
      <c r="DC30" s="146" t="str">
        <f ca="1">RESULTADOS!CG47</f>
        <v>N/T</v>
      </c>
      <c r="DD30" s="146" t="str">
        <f ca="1">RESULTADOS!CH47</f>
        <v>N/T</v>
      </c>
      <c r="DE30" s="146" t="str">
        <f ca="1">RESULTADOS!CI47</f>
        <v>N/T</v>
      </c>
      <c r="DF30" s="146" t="str">
        <f ca="1">RESULTADOS!CJ47</f>
        <v>N/T</v>
      </c>
      <c r="DG30" s="146" t="str">
        <f ca="1">RESULTADOS!CK47</f>
        <v>N/T</v>
      </c>
      <c r="DH30" s="146" t="str">
        <f ca="1">RESULTADOS!CL47</f>
        <v>N/T</v>
      </c>
      <c r="DI30" s="146" t="str">
        <f ca="1">RESULTADOS!CM47</f>
        <v>N/T</v>
      </c>
      <c r="DJ30" s="146" t="str">
        <f ca="1">RESULTADOS!CN47</f>
        <v>N/T</v>
      </c>
      <c r="DK30" s="146" t="str">
        <f ca="1">RESULTADOS!CO47</f>
        <v>N/T</v>
      </c>
      <c r="DL30" s="146" t="str">
        <f ca="1">RESULTADOS!CP47</f>
        <v>N/T</v>
      </c>
      <c r="DM30" s="146" t="str">
        <f ca="1">RESULTADOS!CQ47</f>
        <v>N/T</v>
      </c>
      <c r="DN30" s="146" t="str">
        <f ca="1">RESULTADOS!CR47</f>
        <v>N/T</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t="n">
        <f>'01.Definición de ámbito'!C62</f>
        <v>0.0</v>
      </c>
      <c r="K31" s="153"/>
      <c r="T31" s="148" t="n">
        <f>RESULTADOS!B48</f>
        <v>1.0</v>
      </c>
      <c r="U31" s="148" t="str">
        <f>RESULTADOS!C48</f>
        <v>Home - PortCastelló</v>
      </c>
      <c r="V31" s="148" t="str">
        <f t="shared" si="0"/>
        <v>Página web</v>
      </c>
      <c r="W31" s="148" t="str">
        <v/>
      </c>
      <c r="X31" s="148" t="str">
        <f>RESULTADOS!D48</f>
        <v>https://www.portcastello.com/</v>
      </c>
      <c r="Y31" s="148" t="n">
        <v>0.0</v>
      </c>
      <c r="Z31" s="237" t="str">
        <v>Ej. Imágenes, tablas, listas, multimedia, formularios, plantilla X, plantilla Y</v>
      </c>
      <c r="AA31" s="146" t="str">
        <f ca="1">RESULTADOS!E48</f>
        <v>N/T</v>
      </c>
      <c r="AB31" s="146" t="str">
        <f ca="1">RESULTADOS!F48</f>
        <v>N/T</v>
      </c>
      <c r="AC31" s="146" t="str">
        <f ca="1">RESULTADOS!G48</f>
        <v>N/T</v>
      </c>
      <c r="AD31" s="146" t="str">
        <f ca="1">RESULTADOS!H48</f>
        <v>N/T</v>
      </c>
      <c r="AE31" s="146" t="str">
        <f ca="1">RESULTADOS!I48</f>
        <v>N/T</v>
      </c>
      <c r="AF31" s="146" t="str">
        <f ca="1">RESULTADOS!J48</f>
        <v>N/T</v>
      </c>
      <c r="AG31" s="146" t="str">
        <f ca="1">RESULTADOS!K48</f>
        <v>N/T</v>
      </c>
      <c r="AH31" s="146" t="str">
        <f ca="1">RESULTADOS!L48</f>
        <v>N/T</v>
      </c>
      <c r="AI31" s="146" t="str">
        <f ca="1">RESULTADOS!M48</f>
        <v>N/T</v>
      </c>
      <c r="AJ31" s="146" t="str">
        <f ca="1">RESULTADOS!N48</f>
        <v>N/T</v>
      </c>
      <c r="AK31" s="146" t="str">
        <f ca="1">RESULTADOS!O48</f>
        <v>N/T</v>
      </c>
      <c r="AL31" s="146" t="str">
        <f ca="1">RESULTADOS!P48</f>
        <v>N/T</v>
      </c>
      <c r="AM31" s="146" t="str">
        <f ca="1">RESULTADOS!Q48</f>
        <v>N/T</v>
      </c>
      <c r="AN31" s="146" t="str">
        <f ca="1">RESULTADOS!R48</f>
        <v>N/T</v>
      </c>
      <c r="AO31" s="146" t="str">
        <f ca="1">RESULTADOS!S48</f>
        <v>N/T</v>
      </c>
      <c r="AP31" s="146" t="str">
        <f ca="1">RESULTADOS!T48</f>
        <v>N/T</v>
      </c>
      <c r="AQ31" s="146" t="str">
        <f ca="1">RESULTADOS!U48</f>
        <v>N/T</v>
      </c>
      <c r="AR31" s="146" t="str">
        <f ca="1">RESULTADOS!V48</f>
        <v>N/T</v>
      </c>
      <c r="AS31" s="146" t="str">
        <f ca="1">RESULTADOS!W48</f>
        <v>N/T</v>
      </c>
      <c r="AT31" s="146" t="str">
        <f ca="1">RESULTADOS!X48</f>
        <v>N/T</v>
      </c>
      <c r="AU31" s="146" t="str">
        <f ca="1">RESULTADOS!Y48</f>
        <v>N/T</v>
      </c>
      <c r="AV31" s="146" t="str">
        <f ca="1">RESULTADOS!Z48</f>
        <v>N/T</v>
      </c>
      <c r="AW31" s="146" t="str">
        <f ca="1">RESULTADOS!AA48</f>
        <v>N/T</v>
      </c>
      <c r="AX31" s="146" t="str">
        <f ca="1">RESULTADOS!AB48</f>
        <v>N/T</v>
      </c>
      <c r="AY31" s="146" t="str">
        <f ca="1">RESULTADOS!AC48</f>
        <v>N/T</v>
      </c>
      <c r="AZ31" s="146" t="str">
        <f ca="1">RESULTADOS!AD48</f>
        <v>N/T</v>
      </c>
      <c r="BA31" s="146" t="str">
        <f ca="1">RESULTADOS!AE48</f>
        <v>N/T</v>
      </c>
      <c r="BB31" s="146" t="str">
        <f ca="1">RESULTADOS!AF48</f>
        <v>N/T</v>
      </c>
      <c r="BC31" s="146" t="str">
        <f ca="1">RESULTADOS!AG48</f>
        <v>N/T</v>
      </c>
      <c r="BD31" s="146" t="str">
        <f ca="1">RESULTADOS!AH48</f>
        <v>N/T</v>
      </c>
      <c r="BE31" s="146" t="str">
        <f ca="1">RESULTADOS!AI48</f>
        <v>N/T</v>
      </c>
      <c r="BF31" s="146" t="str">
        <f ca="1">RESULTADOS!AJ48</f>
        <v>N/D</v>
      </c>
      <c r="BG31" s="146" t="str">
        <f ca="1">RESULTADOS!AK48</f>
        <v>N/T</v>
      </c>
      <c r="BH31" s="146" t="str">
        <f ca="1">RESULTADOS!AL48</f>
        <v>N/T</v>
      </c>
      <c r="BI31" s="146" t="str">
        <f ca="1">RESULTADOS!AM48</f>
        <v>N/T</v>
      </c>
      <c r="BJ31" s="146" t="str">
        <f ca="1">RESULTADOS!AN48</f>
        <v>N/T</v>
      </c>
      <c r="BK31" s="146" t="str">
        <f ca="1">RESULTADOS!AO48</f>
        <v>N/D</v>
      </c>
      <c r="BL31" s="146" t="str">
        <f ca="1">RESULTADOS!AP48</f>
        <v>N/T</v>
      </c>
      <c r="BM31" s="146" t="str">
        <f ca="1">RESULTADOS!AQ48</f>
        <v>N/T</v>
      </c>
      <c r="BN31" s="146" t="str">
        <f ca="1">RESULTADOS!AR48</f>
        <v>N/D</v>
      </c>
      <c r="BO31" s="146" t="str">
        <f ca="1">RESULTADOS!AS48</f>
        <v>N/D</v>
      </c>
      <c r="BP31" s="146" t="str">
        <f ca="1">RESULTADOS!AT48</f>
        <v>N/T</v>
      </c>
      <c r="BQ31" s="146" t="str">
        <f ca="1">RESULTADOS!AU48</f>
        <v>N/T</v>
      </c>
      <c r="BR31" s="146" t="str">
        <f ca="1">RESULTADOS!AV48</f>
        <v>N/D</v>
      </c>
      <c r="BS31" s="146" t="str">
        <f ca="1">RESULTADOS!AW48</f>
        <v>N/T</v>
      </c>
      <c r="BT31" s="146" t="str">
        <f ca="1">RESULTADOS!AX48</f>
        <v>N/T</v>
      </c>
      <c r="BU31" s="146" t="str">
        <f ca="1">RESULTADOS!AY48</f>
        <v>N/D</v>
      </c>
      <c r="BV31" s="146" t="str">
        <f ca="1">RESULTADOS!AZ48</f>
        <v>N/T</v>
      </c>
      <c r="BW31" s="146" t="str">
        <f ca="1">RESULTADOS!BA48</f>
        <v>N/D</v>
      </c>
      <c r="BX31" s="146" t="str">
        <f ca="1">RESULTADOS!BB48</f>
        <v>N/T</v>
      </c>
      <c r="BY31" s="146" t="str">
        <f ca="1">RESULTADOS!BC48</f>
        <v>N/D</v>
      </c>
      <c r="BZ31" s="146" t="str">
        <f ca="1">RESULTADOS!BD48</f>
        <v>N/T</v>
      </c>
      <c r="CA31" s="146" t="str">
        <f ca="1">RESULTADOS!BE48</f>
        <v>N/T</v>
      </c>
      <c r="CB31" s="146" t="str">
        <f ca="1">RESULTADOS!BF48</f>
        <v>N/D</v>
      </c>
      <c r="CC31" s="146" t="str">
        <f ca="1">RESULTADOS!BG48</f>
        <v>N/D</v>
      </c>
      <c r="CD31" s="146" t="str">
        <f ca="1">RESULTADOS!BH48</f>
        <v>N/T</v>
      </c>
      <c r="CE31" s="146" t="str">
        <f ca="1">RESULTADOS!BI48</f>
        <v>N/D</v>
      </c>
      <c r="CF31" s="146" t="str">
        <f ca="1">RESULTADOS!BJ48</f>
        <v>N/D</v>
      </c>
      <c r="CG31" s="146" t="str">
        <f ca="1">RESULTADOS!BK48</f>
        <v>N/D</v>
      </c>
      <c r="CH31" s="146" t="str">
        <f ca="1">RESULTADOS!BL48</f>
        <v>N/D</v>
      </c>
      <c r="CI31" s="146" t="str">
        <f ca="1">RESULTADOS!BM48</f>
        <v>N/D</v>
      </c>
      <c r="CJ31" s="146" t="str">
        <f ca="1">RESULTADOS!BN48</f>
        <v>N/T</v>
      </c>
      <c r="CK31" s="146" t="str">
        <f ca="1">RESULTADOS!BO48</f>
        <v>N/D</v>
      </c>
      <c r="CL31" s="146" t="str">
        <f ca="1">RESULTADOS!BP48</f>
        <v>N/T</v>
      </c>
      <c r="CM31" s="146" t="str">
        <f ca="1">RESULTADOS!BQ48</f>
        <v>N/T</v>
      </c>
      <c r="CN31" s="146" t="str">
        <f ca="1">RESULTADOS!BR48</f>
        <v>N/D</v>
      </c>
      <c r="CO31" s="146" t="str">
        <f ca="1">RESULTADOS!BS48</f>
        <v>N/T</v>
      </c>
      <c r="CP31" s="146" t="str">
        <f ca="1">RESULTADOS!BT48</f>
        <v>N/D</v>
      </c>
      <c r="CQ31" s="146" t="str">
        <f ca="1">RESULTADOS!BU48</f>
        <v>N/D</v>
      </c>
      <c r="CR31" s="146" t="str">
        <f ca="1">RESULTADOS!BV48</f>
        <v>N/D</v>
      </c>
      <c r="CS31" s="146" t="str">
        <f ca="1">RESULTADOS!BW48</f>
        <v>N/D</v>
      </c>
      <c r="CT31" s="146" t="str">
        <f ca="1">RESULTADOS!BX48</f>
        <v>N/D</v>
      </c>
      <c r="CU31" s="146" t="str">
        <f ca="1">RESULTADOS!BY48</f>
        <v>N/T</v>
      </c>
      <c r="CV31" s="146" t="str">
        <f ca="1">RESULTADOS!BZ48</f>
        <v>N/T</v>
      </c>
      <c r="CW31" s="146" t="str">
        <f ca="1">RESULTADOS!CA48</f>
        <v>N/D</v>
      </c>
      <c r="CX31" s="146" t="str">
        <f ca="1">RESULTADOS!CB48</f>
        <v>N/T</v>
      </c>
      <c r="CY31" s="146" t="str">
        <f ca="1">RESULTADOS!CC48</f>
        <v>N/T</v>
      </c>
      <c r="CZ31" s="146" t="str">
        <f ca="1">RESULTADOS!CD48</f>
        <v>N/T</v>
      </c>
      <c r="DA31" s="146" t="str">
        <f ca="1">RESULTADOS!CE48</f>
        <v>N/D</v>
      </c>
      <c r="DB31" s="146" t="str">
        <f ca="1">RESULTADOS!CF48</f>
        <v>N/T</v>
      </c>
      <c r="DC31" s="146" t="str">
        <f ca="1">RESULTADOS!CG48</f>
        <v>N/T</v>
      </c>
      <c r="DD31" s="146" t="str">
        <f ca="1">RESULTADOS!CH48</f>
        <v>N/T</v>
      </c>
      <c r="DE31" s="146" t="str">
        <f ca="1">RESULTADOS!CI48</f>
        <v>N/T</v>
      </c>
      <c r="DF31" s="146" t="str">
        <f ca="1">RESULTADOS!CJ48</f>
        <v>N/T</v>
      </c>
      <c r="DG31" s="146" t="str">
        <f ca="1">RESULTADOS!CK48</f>
        <v>N/T</v>
      </c>
      <c r="DH31" s="146" t="str">
        <f ca="1">RESULTADOS!CL48</f>
        <v>N/T</v>
      </c>
      <c r="DI31" s="146" t="str">
        <f ca="1">RESULTADOS!CM48</f>
        <v>N/T</v>
      </c>
      <c r="DJ31" s="146" t="str">
        <f ca="1">RESULTADOS!CN48</f>
        <v>N/T</v>
      </c>
      <c r="DK31" s="146" t="str">
        <f ca="1">RESULTADOS!CO48</f>
        <v>N/T</v>
      </c>
      <c r="DL31" s="146" t="str">
        <f ca="1">RESULTADOS!CP48</f>
        <v>N/T</v>
      </c>
      <c r="DM31" s="146" t="str">
        <f ca="1">RESULTADOS!CQ48</f>
        <v>N/T</v>
      </c>
      <c r="DN31" s="146" t="str">
        <f ca="1">RESULTADOS!CR48</f>
        <v>N/T</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n">
        <f>RESULTADOS!B49</f>
        <v>1.0</v>
      </c>
      <c r="U32" s="148" t="str">
        <f>RESULTADOS!C49</f>
        <v>Home - PortCastelló</v>
      </c>
      <c r="V32" s="148" t="str">
        <f t="shared" si="0"/>
        <v>Página web</v>
      </c>
      <c r="W32" s="148" t="str">
        <v/>
      </c>
      <c r="X32" s="148" t="str">
        <f>RESULTADOS!D49</f>
        <v>https://www.portcastello.com/</v>
      </c>
      <c r="Y32" s="148" t="n">
        <v>0.0</v>
      </c>
      <c r="Z32" s="237" t="str">
        <v>Ej. Imágenes, tablas, listas, multimedia, formularios, plantilla X, plantilla Y</v>
      </c>
      <c r="AA32" s="146" t="str">
        <f ca="1">RESULTADOS!E49</f>
        <v>N/T</v>
      </c>
      <c r="AB32" s="146" t="str">
        <f ca="1">RESULTADOS!F49</f>
        <v>N/T</v>
      </c>
      <c r="AC32" s="146" t="str">
        <f ca="1">RESULTADOS!G49</f>
        <v>N/T</v>
      </c>
      <c r="AD32" s="146" t="str">
        <f ca="1">RESULTADOS!H49</f>
        <v>N/T</v>
      </c>
      <c r="AE32" s="146" t="str">
        <f ca="1">RESULTADOS!I49</f>
        <v>N/T</v>
      </c>
      <c r="AF32" s="146" t="str">
        <f ca="1">RESULTADOS!J49</f>
        <v>N/T</v>
      </c>
      <c r="AG32" s="146" t="str">
        <f ca="1">RESULTADOS!K49</f>
        <v>N/T</v>
      </c>
      <c r="AH32" s="146" t="str">
        <f ca="1">RESULTADOS!L49</f>
        <v>N/T</v>
      </c>
      <c r="AI32" s="146" t="str">
        <f ca="1">RESULTADOS!M49</f>
        <v>N/T</v>
      </c>
      <c r="AJ32" s="146" t="str">
        <f ca="1">RESULTADOS!N49</f>
        <v>N/T</v>
      </c>
      <c r="AK32" s="146" t="str">
        <f ca="1">RESULTADOS!O49</f>
        <v>N/T</v>
      </c>
      <c r="AL32" s="146" t="str">
        <f ca="1">RESULTADOS!P49</f>
        <v>N/T</v>
      </c>
      <c r="AM32" s="146" t="str">
        <f ca="1">RESULTADOS!Q49</f>
        <v>N/T</v>
      </c>
      <c r="AN32" s="146" t="str">
        <f ca="1">RESULTADOS!R49</f>
        <v>N/T</v>
      </c>
      <c r="AO32" s="146" t="str">
        <f ca="1">RESULTADOS!S49</f>
        <v>N/T</v>
      </c>
      <c r="AP32" s="146" t="str">
        <f ca="1">RESULTADOS!T49</f>
        <v>N/T</v>
      </c>
      <c r="AQ32" s="146" t="str">
        <f ca="1">RESULTADOS!U49</f>
        <v>N/T</v>
      </c>
      <c r="AR32" s="146" t="str">
        <f ca="1">RESULTADOS!V49</f>
        <v>N/T</v>
      </c>
      <c r="AS32" s="146" t="str">
        <f ca="1">RESULTADOS!W49</f>
        <v>N/T</v>
      </c>
      <c r="AT32" s="146" t="str">
        <f ca="1">RESULTADOS!X49</f>
        <v>N/T</v>
      </c>
      <c r="AU32" s="146" t="str">
        <f ca="1">RESULTADOS!Y49</f>
        <v>N/T</v>
      </c>
      <c r="AV32" s="146" t="str">
        <f ca="1">RESULTADOS!Z49</f>
        <v>N/T</v>
      </c>
      <c r="AW32" s="146" t="str">
        <f ca="1">RESULTADOS!AA49</f>
        <v>N/T</v>
      </c>
      <c r="AX32" s="146" t="str">
        <f ca="1">RESULTADOS!AB49</f>
        <v>N/T</v>
      </c>
      <c r="AY32" s="146" t="str">
        <f ca="1">RESULTADOS!AC49</f>
        <v>N/T</v>
      </c>
      <c r="AZ32" s="146" t="str">
        <f ca="1">RESULTADOS!AD49</f>
        <v>N/T</v>
      </c>
      <c r="BA32" s="146" t="str">
        <f ca="1">RESULTADOS!AE49</f>
        <v>N/T</v>
      </c>
      <c r="BB32" s="146" t="str">
        <f ca="1">RESULTADOS!AF49</f>
        <v>N/T</v>
      </c>
      <c r="BC32" s="146" t="str">
        <f ca="1">RESULTADOS!AG49</f>
        <v>N/T</v>
      </c>
      <c r="BD32" s="146" t="str">
        <f ca="1">RESULTADOS!AH49</f>
        <v>N/T</v>
      </c>
      <c r="BE32" s="146" t="str">
        <f ca="1">RESULTADOS!AI49</f>
        <v>N/T</v>
      </c>
      <c r="BF32" s="146" t="str">
        <f ca="1">RESULTADOS!AJ49</f>
        <v>N/D</v>
      </c>
      <c r="BG32" s="146" t="str">
        <f ca="1">RESULTADOS!AK49</f>
        <v>N/T</v>
      </c>
      <c r="BH32" s="146" t="str">
        <f ca="1">RESULTADOS!AL49</f>
        <v>N/T</v>
      </c>
      <c r="BI32" s="146" t="str">
        <f ca="1">RESULTADOS!AM49</f>
        <v>N/T</v>
      </c>
      <c r="BJ32" s="146" t="str">
        <f ca="1">RESULTADOS!AN49</f>
        <v>N/T</v>
      </c>
      <c r="BK32" s="146" t="str">
        <f ca="1">RESULTADOS!AO49</f>
        <v>N/D</v>
      </c>
      <c r="BL32" s="146" t="str">
        <f ca="1">RESULTADOS!AP49</f>
        <v>N/T</v>
      </c>
      <c r="BM32" s="146" t="str">
        <f ca="1">RESULTADOS!AQ49</f>
        <v>N/T</v>
      </c>
      <c r="BN32" s="146" t="str">
        <f ca="1">RESULTADOS!AR49</f>
        <v>N/D</v>
      </c>
      <c r="BO32" s="146" t="str">
        <f ca="1">RESULTADOS!AS49</f>
        <v>N/D</v>
      </c>
      <c r="BP32" s="146" t="str">
        <f ca="1">RESULTADOS!AT49</f>
        <v>N/T</v>
      </c>
      <c r="BQ32" s="146" t="str">
        <f ca="1">RESULTADOS!AU49</f>
        <v>N/T</v>
      </c>
      <c r="BR32" s="146" t="str">
        <f ca="1">RESULTADOS!AV49</f>
        <v>N/D</v>
      </c>
      <c r="BS32" s="146" t="str">
        <f ca="1">RESULTADOS!AW49</f>
        <v>N/T</v>
      </c>
      <c r="BT32" s="146" t="str">
        <f ca="1">RESULTADOS!AX49</f>
        <v>N/T</v>
      </c>
      <c r="BU32" s="146" t="str">
        <f ca="1">RESULTADOS!AY49</f>
        <v>N/D</v>
      </c>
      <c r="BV32" s="146" t="str">
        <f ca="1">RESULTADOS!AZ49</f>
        <v>N/T</v>
      </c>
      <c r="BW32" s="146" t="str">
        <f ca="1">RESULTADOS!BA49</f>
        <v>N/D</v>
      </c>
      <c r="BX32" s="146" t="str">
        <f ca="1">RESULTADOS!BB49</f>
        <v>N/T</v>
      </c>
      <c r="BY32" s="146" t="str">
        <f ca="1">RESULTADOS!BC49</f>
        <v>N/D</v>
      </c>
      <c r="BZ32" s="146" t="str">
        <f ca="1">RESULTADOS!BD49</f>
        <v>N/T</v>
      </c>
      <c r="CA32" s="146" t="str">
        <f ca="1">RESULTADOS!BE49</f>
        <v>N/T</v>
      </c>
      <c r="CB32" s="146" t="str">
        <f ca="1">RESULTADOS!BF49</f>
        <v>N/D</v>
      </c>
      <c r="CC32" s="146" t="str">
        <f ca="1">RESULTADOS!BG49</f>
        <v>N/D</v>
      </c>
      <c r="CD32" s="146" t="str">
        <f ca="1">RESULTADOS!BH49</f>
        <v>N/T</v>
      </c>
      <c r="CE32" s="146" t="str">
        <f ca="1">RESULTADOS!BI49</f>
        <v>N/D</v>
      </c>
      <c r="CF32" s="146" t="str">
        <f ca="1">RESULTADOS!BJ49</f>
        <v>N/D</v>
      </c>
      <c r="CG32" s="146" t="str">
        <f ca="1">RESULTADOS!BK49</f>
        <v>N/D</v>
      </c>
      <c r="CH32" s="146" t="str">
        <f ca="1">RESULTADOS!BL49</f>
        <v>Falla</v>
      </c>
      <c r="CI32" s="146" t="str">
        <f ca="1">RESULTADOS!BM49</f>
        <v>N/D</v>
      </c>
      <c r="CJ32" s="146" t="str">
        <f ca="1">RESULTADOS!BN49</f>
        <v>N/T</v>
      </c>
      <c r="CK32" s="146" t="str">
        <f ca="1">RESULTADOS!BO49</f>
        <v>N/D</v>
      </c>
      <c r="CL32" s="146" t="str">
        <f ca="1">RESULTADOS!BP49</f>
        <v>N/T</v>
      </c>
      <c r="CM32" s="146" t="str">
        <f ca="1">RESULTADOS!BQ49</f>
        <v>N/T</v>
      </c>
      <c r="CN32" s="146" t="str">
        <f ca="1">RESULTADOS!BR49</f>
        <v>N/D</v>
      </c>
      <c r="CO32" s="146" t="str">
        <f ca="1">RESULTADOS!BS49</f>
        <v>N/T</v>
      </c>
      <c r="CP32" s="146" t="str">
        <f ca="1">RESULTADOS!BT49</f>
        <v>N/D</v>
      </c>
      <c r="CQ32" s="146" t="str">
        <f ca="1">RESULTADOS!BU49</f>
        <v>N/D</v>
      </c>
      <c r="CR32" s="146" t="str">
        <f ca="1">RESULTADOS!BV49</f>
        <v>N/D</v>
      </c>
      <c r="CS32" s="146" t="str">
        <f ca="1">RESULTADOS!BW49</f>
        <v>N/D</v>
      </c>
      <c r="CT32" s="146" t="str">
        <f ca="1">RESULTADOS!BX49</f>
        <v>N/D</v>
      </c>
      <c r="CU32" s="146" t="str">
        <f ca="1">RESULTADOS!BY49</f>
        <v>N/T</v>
      </c>
      <c r="CV32" s="146" t="str">
        <f ca="1">RESULTADOS!BZ49</f>
        <v>N/T</v>
      </c>
      <c r="CW32" s="146" t="str">
        <f ca="1">RESULTADOS!CA49</f>
        <v>N/D</v>
      </c>
      <c r="CX32" s="146" t="str">
        <f ca="1">RESULTADOS!CB49</f>
        <v>N/T</v>
      </c>
      <c r="CY32" s="146" t="str">
        <f ca="1">RESULTADOS!CC49</f>
        <v>N/T</v>
      </c>
      <c r="CZ32" s="146" t="str">
        <f ca="1">RESULTADOS!CD49</f>
        <v>N/T</v>
      </c>
      <c r="DA32" s="146" t="str">
        <f ca="1">RESULTADOS!CE49</f>
        <v>N/D</v>
      </c>
      <c r="DB32" s="146" t="str">
        <f ca="1">RESULTADOS!CF49</f>
        <v>N/T</v>
      </c>
      <c r="DC32" s="146" t="str">
        <f ca="1">RESULTADOS!CG49</f>
        <v>N/T</v>
      </c>
      <c r="DD32" s="146" t="str">
        <f ca="1">RESULTADOS!CH49</f>
        <v>N/T</v>
      </c>
      <c r="DE32" s="146" t="str">
        <f ca="1">RESULTADOS!CI49</f>
        <v>N/T</v>
      </c>
      <c r="DF32" s="146" t="str">
        <f ca="1">RESULTADOS!CJ49</f>
        <v>N/T</v>
      </c>
      <c r="DG32" s="146" t="str">
        <f ca="1">RESULTADOS!CK49</f>
        <v>N/T</v>
      </c>
      <c r="DH32" s="146" t="str">
        <f ca="1">RESULTADOS!CL49</f>
        <v>N/T</v>
      </c>
      <c r="DI32" s="146" t="str">
        <f ca="1">RESULTADOS!CM49</f>
        <v>N/T</v>
      </c>
      <c r="DJ32" s="146" t="str">
        <f ca="1">RESULTADOS!CN49</f>
        <v>N/T</v>
      </c>
      <c r="DK32" s="146" t="str">
        <f ca="1">RESULTADOS!CO49</f>
        <v>N/T</v>
      </c>
      <c r="DL32" s="146" t="str">
        <f ca="1">RESULTADOS!CP49</f>
        <v>N/T</v>
      </c>
      <c r="DM32" s="146" t="str">
        <f ca="1">RESULTADOS!CQ49</f>
        <v>N/T</v>
      </c>
      <c r="DN32" s="146" t="str">
        <f ca="1">RESULTADOS!CR49</f>
        <v>N/T</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n">
        <f>RESULTADOS!B50</f>
        <v>1.0</v>
      </c>
      <c r="U33" s="148" t="str">
        <f>RESULTADOS!C50</f>
        <v>Home - PortCastelló</v>
      </c>
      <c r="V33" s="148" t="str">
        <f t="shared" si="0"/>
        <v>Página web</v>
      </c>
      <c r="W33" s="148" t="str">
        <v/>
      </c>
      <c r="X33" s="148" t="str">
        <f>RESULTADOS!D50</f>
        <v>https://www.portcastello.com/</v>
      </c>
      <c r="Y33" s="148" t="n">
        <v>0.0</v>
      </c>
      <c r="Z33" s="237" t="str">
        <v>Ej. Imágenes, tablas, listas, multimedia, formularios, plantilla X, plantilla Y</v>
      </c>
      <c r="AA33" s="146" t="str">
        <f ca="1">RESULTADOS!E50</f>
        <v>N/T</v>
      </c>
      <c r="AB33" s="146" t="str">
        <f ca="1">RESULTADOS!F50</f>
        <v>N/T</v>
      </c>
      <c r="AC33" s="146" t="str">
        <f ca="1">RESULTADOS!G50</f>
        <v>N/T</v>
      </c>
      <c r="AD33" s="146" t="str">
        <f ca="1">RESULTADOS!H50</f>
        <v>N/T</v>
      </c>
      <c r="AE33" s="146" t="str">
        <f ca="1">RESULTADOS!I50</f>
        <v>N/T</v>
      </c>
      <c r="AF33" s="146" t="str">
        <f ca="1">RESULTADOS!J50</f>
        <v>N/T</v>
      </c>
      <c r="AG33" s="146" t="str">
        <f ca="1">RESULTADOS!K50</f>
        <v>N/T</v>
      </c>
      <c r="AH33" s="146" t="str">
        <f ca="1">RESULTADOS!L50</f>
        <v>N/T</v>
      </c>
      <c r="AI33" s="146" t="str">
        <f ca="1">RESULTADOS!M50</f>
        <v>N/T</v>
      </c>
      <c r="AJ33" s="146" t="str">
        <f ca="1">RESULTADOS!N50</f>
        <v>N/T</v>
      </c>
      <c r="AK33" s="146" t="str">
        <f ca="1">RESULTADOS!O50</f>
        <v>N/T</v>
      </c>
      <c r="AL33" s="146" t="str">
        <f ca="1">RESULTADOS!P50</f>
        <v>N/T</v>
      </c>
      <c r="AM33" s="146" t="str">
        <f ca="1">RESULTADOS!Q50</f>
        <v>N/T</v>
      </c>
      <c r="AN33" s="146" t="str">
        <f ca="1">RESULTADOS!R50</f>
        <v>N/T</v>
      </c>
      <c r="AO33" s="146" t="str">
        <f ca="1">RESULTADOS!S50</f>
        <v>N/T</v>
      </c>
      <c r="AP33" s="146" t="str">
        <f ca="1">RESULTADOS!T50</f>
        <v>N/T</v>
      </c>
      <c r="AQ33" s="146" t="str">
        <f ca="1">RESULTADOS!U50</f>
        <v>N/T</v>
      </c>
      <c r="AR33" s="146" t="str">
        <f ca="1">RESULTADOS!V50</f>
        <v>N/T</v>
      </c>
      <c r="AS33" s="146" t="str">
        <f ca="1">RESULTADOS!W50</f>
        <v>N/T</v>
      </c>
      <c r="AT33" s="146" t="str">
        <f ca="1">RESULTADOS!X50</f>
        <v>N/T</v>
      </c>
      <c r="AU33" s="146" t="str">
        <f ca="1">RESULTADOS!Y50</f>
        <v>N/T</v>
      </c>
      <c r="AV33" s="146" t="str">
        <f ca="1">RESULTADOS!Z50</f>
        <v>N/T</v>
      </c>
      <c r="AW33" s="146" t="str">
        <f ca="1">RESULTADOS!AA50</f>
        <v>N/T</v>
      </c>
      <c r="AX33" s="146" t="str">
        <f ca="1">RESULTADOS!AB50</f>
        <v>N/T</v>
      </c>
      <c r="AY33" s="146" t="str">
        <f ca="1">RESULTADOS!AC50</f>
        <v>N/T</v>
      </c>
      <c r="AZ33" s="146" t="str">
        <f ca="1">RESULTADOS!AD50</f>
        <v>N/T</v>
      </c>
      <c r="BA33" s="146" t="str">
        <f ca="1">RESULTADOS!AE50</f>
        <v>N/T</v>
      </c>
      <c r="BB33" s="146" t="str">
        <f ca="1">RESULTADOS!AF50</f>
        <v>N/T</v>
      </c>
      <c r="BC33" s="146" t="str">
        <f ca="1">RESULTADOS!AG50</f>
        <v>N/T</v>
      </c>
      <c r="BD33" s="146" t="str">
        <f ca="1">RESULTADOS!AH50</f>
        <v>N/T</v>
      </c>
      <c r="BE33" s="146" t="str">
        <f ca="1">RESULTADOS!AI50</f>
        <v>N/T</v>
      </c>
      <c r="BF33" s="146" t="str">
        <f ca="1">RESULTADOS!AJ50</f>
        <v>N/D</v>
      </c>
      <c r="BG33" s="146" t="str">
        <f ca="1">RESULTADOS!AK50</f>
        <v>N/T</v>
      </c>
      <c r="BH33" s="146" t="str">
        <f ca="1">RESULTADOS!AL50</f>
        <v>N/T</v>
      </c>
      <c r="BI33" s="146" t="str">
        <f ca="1">RESULTADOS!AM50</f>
        <v>N/T</v>
      </c>
      <c r="BJ33" s="146" t="str">
        <f ca="1">RESULTADOS!AN50</f>
        <v>N/T</v>
      </c>
      <c r="BK33" s="146" t="str">
        <f ca="1">RESULTADOS!AO50</f>
        <v>N/D</v>
      </c>
      <c r="BL33" s="146" t="str">
        <f ca="1">RESULTADOS!AP50</f>
        <v>N/T</v>
      </c>
      <c r="BM33" s="146" t="str">
        <f ca="1">RESULTADOS!AQ50</f>
        <v>N/T</v>
      </c>
      <c r="BN33" s="146" t="str">
        <f ca="1">RESULTADOS!AR50</f>
        <v>N/D</v>
      </c>
      <c r="BO33" s="146" t="str">
        <f ca="1">RESULTADOS!AS50</f>
        <v>N/D</v>
      </c>
      <c r="BP33" s="146" t="str">
        <f ca="1">RESULTADOS!AT50</f>
        <v>N/T</v>
      </c>
      <c r="BQ33" s="146" t="str">
        <f ca="1">RESULTADOS!AU50</f>
        <v>N/T</v>
      </c>
      <c r="BR33" s="146" t="str">
        <f ca="1">RESULTADOS!AV50</f>
        <v>N/D</v>
      </c>
      <c r="BS33" s="146" t="str">
        <f ca="1">RESULTADOS!AW50</f>
        <v>N/T</v>
      </c>
      <c r="BT33" s="146" t="str">
        <f ca="1">RESULTADOS!AX50</f>
        <v>N/T</v>
      </c>
      <c r="BU33" s="146" t="str">
        <f ca="1">RESULTADOS!AY50</f>
        <v>N/D</v>
      </c>
      <c r="BV33" s="146" t="str">
        <f ca="1">RESULTADOS!AZ50</f>
        <v>N/T</v>
      </c>
      <c r="BW33" s="146" t="str">
        <f ca="1">RESULTADOS!BA50</f>
        <v>N/D</v>
      </c>
      <c r="BX33" s="146" t="str">
        <f ca="1">RESULTADOS!BB50</f>
        <v>N/T</v>
      </c>
      <c r="BY33" s="146" t="str">
        <f ca="1">RESULTADOS!BC50</f>
        <v>N/D</v>
      </c>
      <c r="BZ33" s="146" t="str">
        <f ca="1">RESULTADOS!BD50</f>
        <v>N/T</v>
      </c>
      <c r="CA33" s="146" t="str">
        <f ca="1">RESULTADOS!BE50</f>
        <v>N/T</v>
      </c>
      <c r="CB33" s="146" t="str">
        <f ca="1">RESULTADOS!BF50</f>
        <v>N/D</v>
      </c>
      <c r="CC33" s="146" t="str">
        <f ca="1">RESULTADOS!BG50</f>
        <v>N/D</v>
      </c>
      <c r="CD33" s="146" t="str">
        <f ca="1">RESULTADOS!BH50</f>
        <v>N/T</v>
      </c>
      <c r="CE33" s="146" t="str">
        <f ca="1">RESULTADOS!BI50</f>
        <v>N/D</v>
      </c>
      <c r="CF33" s="146" t="str">
        <f ca="1">RESULTADOS!BJ50</f>
        <v>N/D</v>
      </c>
      <c r="CG33" s="146" t="str">
        <f ca="1">RESULTADOS!BK50</f>
        <v>N/D</v>
      </c>
      <c r="CH33" s="146" t="str">
        <f ca="1">RESULTADOS!BL50</f>
        <v>N/D</v>
      </c>
      <c r="CI33" s="146" t="str">
        <f ca="1">RESULTADOS!BM50</f>
        <v>N/D</v>
      </c>
      <c r="CJ33" s="146" t="str">
        <f ca="1">RESULTADOS!BN50</f>
        <v>N/T</v>
      </c>
      <c r="CK33" s="146" t="str">
        <f ca="1">RESULTADOS!BO50</f>
        <v>N/D</v>
      </c>
      <c r="CL33" s="146" t="str">
        <f ca="1">RESULTADOS!BP50</f>
        <v>N/T</v>
      </c>
      <c r="CM33" s="146" t="str">
        <f ca="1">RESULTADOS!BQ50</f>
        <v>N/T</v>
      </c>
      <c r="CN33" s="146" t="str">
        <f ca="1">RESULTADOS!BR50</f>
        <v>N/D</v>
      </c>
      <c r="CO33" s="146" t="str">
        <f ca="1">RESULTADOS!BS50</f>
        <v>N/T</v>
      </c>
      <c r="CP33" s="146" t="str">
        <f ca="1">RESULTADOS!BT50</f>
        <v>N/D</v>
      </c>
      <c r="CQ33" s="146" t="str">
        <f ca="1">RESULTADOS!BU50</f>
        <v>N/D</v>
      </c>
      <c r="CR33" s="146" t="str">
        <f ca="1">RESULTADOS!BV50</f>
        <v>N/D</v>
      </c>
      <c r="CS33" s="146" t="str">
        <f ca="1">RESULTADOS!BW50</f>
        <v>N/D</v>
      </c>
      <c r="CT33" s="146" t="str">
        <f ca="1">RESULTADOS!BX50</f>
        <v>N/D</v>
      </c>
      <c r="CU33" s="146" t="str">
        <f ca="1">RESULTADOS!BY50</f>
        <v>N/T</v>
      </c>
      <c r="CV33" s="146" t="str">
        <f ca="1">RESULTADOS!BZ50</f>
        <v>N/T</v>
      </c>
      <c r="CW33" s="146" t="str">
        <f ca="1">RESULTADOS!CA50</f>
        <v>N/D</v>
      </c>
      <c r="CX33" s="146" t="str">
        <f ca="1">RESULTADOS!CB50</f>
        <v>N/T</v>
      </c>
      <c r="CY33" s="146" t="str">
        <f ca="1">RESULTADOS!CC50</f>
        <v>N/T</v>
      </c>
      <c r="CZ33" s="146" t="str">
        <f ca="1">RESULTADOS!CD50</f>
        <v>N/T</v>
      </c>
      <c r="DA33" s="146" t="str">
        <f ca="1">RESULTADOS!CE50</f>
        <v>N/D</v>
      </c>
      <c r="DB33" s="146" t="str">
        <f ca="1">RESULTADOS!CF50</f>
        <v>N/T</v>
      </c>
      <c r="DC33" s="146" t="str">
        <f ca="1">RESULTADOS!CG50</f>
        <v>N/T</v>
      </c>
      <c r="DD33" s="146" t="str">
        <f ca="1">RESULTADOS!CH50</f>
        <v>N/T</v>
      </c>
      <c r="DE33" s="146" t="str">
        <f ca="1">RESULTADOS!CI50</f>
        <v>N/T</v>
      </c>
      <c r="DF33" s="146" t="str">
        <f ca="1">RESULTADOS!CJ50</f>
        <v>N/T</v>
      </c>
      <c r="DG33" s="146" t="str">
        <f ca="1">RESULTADOS!CK50</f>
        <v>N/T</v>
      </c>
      <c r="DH33" s="146" t="str">
        <f ca="1">RESULTADOS!CL50</f>
        <v>N/T</v>
      </c>
      <c r="DI33" s="146" t="str">
        <f ca="1">RESULTADOS!CM50</f>
        <v>N/T</v>
      </c>
      <c r="DJ33" s="146" t="str">
        <f ca="1">RESULTADOS!CN50</f>
        <v>N/T</v>
      </c>
      <c r="DK33" s="146" t="str">
        <f ca="1">RESULTADOS!CO50</f>
        <v>N/T</v>
      </c>
      <c r="DL33" s="146" t="str">
        <f ca="1">RESULTADOS!CP50</f>
        <v>N/T</v>
      </c>
      <c r="DM33" s="146" t="str">
        <f ca="1">RESULTADOS!CQ50</f>
        <v>N/T</v>
      </c>
      <c r="DN33" s="146" t="str">
        <f ca="1">RESULTADOS!CR50</f>
        <v>N/T</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n">
        <f>RESULTADOS!B51</f>
        <v>1.0</v>
      </c>
      <c r="U34" s="148" t="str">
        <f>RESULTADOS!C51</f>
        <v>Home - PortCastelló</v>
      </c>
      <c r="V34" s="148" t="str">
        <f t="shared" si="0"/>
        <v>Página web</v>
      </c>
      <c r="W34" s="148" t="str">
        <v/>
      </c>
      <c r="X34" s="148" t="str">
        <f>RESULTADOS!D51</f>
        <v>https://www.portcastello.com/</v>
      </c>
      <c r="Y34" s="148" t="n">
        <v>0.0</v>
      </c>
      <c r="Z34" s="237" t="str">
        <v>Ej. Imágenes, tablas, listas, multimedia, formularios, plantilla X, plantilla Y</v>
      </c>
      <c r="AA34" s="146" t="str">
        <f ca="1">RESULTADOS!E51</f>
        <v>N/T</v>
      </c>
      <c r="AB34" s="146" t="str">
        <f ca="1">RESULTADOS!F51</f>
        <v>N/T</v>
      </c>
      <c r="AC34" s="146" t="str">
        <f ca="1">RESULTADOS!G51</f>
        <v>N/T</v>
      </c>
      <c r="AD34" s="146" t="str">
        <f ca="1">RESULTADOS!H51</f>
        <v>N/T</v>
      </c>
      <c r="AE34" s="146" t="str">
        <f ca="1">RESULTADOS!I51</f>
        <v>N/T</v>
      </c>
      <c r="AF34" s="146" t="str">
        <f ca="1">RESULTADOS!J51</f>
        <v>N/T</v>
      </c>
      <c r="AG34" s="146" t="str">
        <f ca="1">RESULTADOS!K51</f>
        <v>N/T</v>
      </c>
      <c r="AH34" s="146" t="str">
        <f ca="1">RESULTADOS!L51</f>
        <v>N/T</v>
      </c>
      <c r="AI34" s="146" t="str">
        <f ca="1">RESULTADOS!M51</f>
        <v>N/T</v>
      </c>
      <c r="AJ34" s="146" t="str">
        <f ca="1">RESULTADOS!N51</f>
        <v>N/T</v>
      </c>
      <c r="AK34" s="146" t="str">
        <f ca="1">RESULTADOS!O51</f>
        <v>N/T</v>
      </c>
      <c r="AL34" s="146" t="str">
        <f ca="1">RESULTADOS!P51</f>
        <v>N/T</v>
      </c>
      <c r="AM34" s="146" t="str">
        <f ca="1">RESULTADOS!Q51</f>
        <v>N/T</v>
      </c>
      <c r="AN34" s="146" t="str">
        <f ca="1">RESULTADOS!R51</f>
        <v>N/T</v>
      </c>
      <c r="AO34" s="146" t="str">
        <f ca="1">RESULTADOS!S51</f>
        <v>N/T</v>
      </c>
      <c r="AP34" s="146" t="str">
        <f ca="1">RESULTADOS!T51</f>
        <v>N/T</v>
      </c>
      <c r="AQ34" s="146" t="str">
        <f ca="1">RESULTADOS!U51</f>
        <v>N/T</v>
      </c>
      <c r="AR34" s="146" t="str">
        <f ca="1">RESULTADOS!V51</f>
        <v>N/T</v>
      </c>
      <c r="AS34" s="146" t="str">
        <f ca="1">RESULTADOS!W51</f>
        <v>N/T</v>
      </c>
      <c r="AT34" s="146" t="str">
        <f ca="1">RESULTADOS!X51</f>
        <v>N/T</v>
      </c>
      <c r="AU34" s="146" t="str">
        <f ca="1">RESULTADOS!Y51</f>
        <v>N/T</v>
      </c>
      <c r="AV34" s="146" t="str">
        <f ca="1">RESULTADOS!Z51</f>
        <v>N/T</v>
      </c>
      <c r="AW34" s="146" t="str">
        <f ca="1">RESULTADOS!AA51</f>
        <v>N/T</v>
      </c>
      <c r="AX34" s="146" t="str">
        <f ca="1">RESULTADOS!AB51</f>
        <v>N/T</v>
      </c>
      <c r="AY34" s="146" t="str">
        <f ca="1">RESULTADOS!AC51</f>
        <v>N/T</v>
      </c>
      <c r="AZ34" s="146" t="str">
        <f ca="1">RESULTADOS!AD51</f>
        <v>N/T</v>
      </c>
      <c r="BA34" s="146" t="str">
        <f ca="1">RESULTADOS!AE51</f>
        <v>N/T</v>
      </c>
      <c r="BB34" s="146" t="str">
        <f ca="1">RESULTADOS!AF51</f>
        <v>N/T</v>
      </c>
      <c r="BC34" s="146" t="str">
        <f ca="1">RESULTADOS!AG51</f>
        <v>N/T</v>
      </c>
      <c r="BD34" s="146" t="str">
        <f ca="1">RESULTADOS!AH51</f>
        <v>N/T</v>
      </c>
      <c r="BE34" s="146" t="str">
        <f ca="1">RESULTADOS!AI51</f>
        <v>N/T</v>
      </c>
      <c r="BF34" s="146" t="str">
        <f ca="1">RESULTADOS!AJ51</f>
        <v>N/D</v>
      </c>
      <c r="BG34" s="146" t="str">
        <f ca="1">RESULTADOS!AK51</f>
        <v>N/T</v>
      </c>
      <c r="BH34" s="146" t="str">
        <f ca="1">RESULTADOS!AL51</f>
        <v>N/T</v>
      </c>
      <c r="BI34" s="146" t="str">
        <f ca="1">RESULTADOS!AM51</f>
        <v>N/T</v>
      </c>
      <c r="BJ34" s="146" t="str">
        <f ca="1">RESULTADOS!AN51</f>
        <v>N/T</v>
      </c>
      <c r="BK34" s="146" t="str">
        <f ca="1">RESULTADOS!AO51</f>
        <v>N/D</v>
      </c>
      <c r="BL34" s="146" t="str">
        <f ca="1">RESULTADOS!AP51</f>
        <v>N/T</v>
      </c>
      <c r="BM34" s="146" t="str">
        <f ca="1">RESULTADOS!AQ51</f>
        <v>N/T</v>
      </c>
      <c r="BN34" s="146" t="str">
        <f ca="1">RESULTADOS!AR51</f>
        <v>N/D</v>
      </c>
      <c r="BO34" s="146" t="str">
        <f ca="1">RESULTADOS!AS51</f>
        <v>N/D</v>
      </c>
      <c r="BP34" s="146" t="str">
        <f ca="1">RESULTADOS!AT51</f>
        <v>N/T</v>
      </c>
      <c r="BQ34" s="146" t="str">
        <f ca="1">RESULTADOS!AU51</f>
        <v>N/T</v>
      </c>
      <c r="BR34" s="146" t="str">
        <f ca="1">RESULTADOS!AV51</f>
        <v>N/D</v>
      </c>
      <c r="BS34" s="146" t="str">
        <f ca="1">RESULTADOS!AW51</f>
        <v>N/T</v>
      </c>
      <c r="BT34" s="146" t="str">
        <f ca="1">RESULTADOS!AX51</f>
        <v>N/T</v>
      </c>
      <c r="BU34" s="146" t="str">
        <f ca="1">RESULTADOS!AY51</f>
        <v>N/D</v>
      </c>
      <c r="BV34" s="146" t="str">
        <f ca="1">RESULTADOS!AZ51</f>
        <v>N/T</v>
      </c>
      <c r="BW34" s="146" t="str">
        <f ca="1">RESULTADOS!BA51</f>
        <v>N/D</v>
      </c>
      <c r="BX34" s="146" t="str">
        <f ca="1">RESULTADOS!BB51</f>
        <v>N/T</v>
      </c>
      <c r="BY34" s="146" t="str">
        <f ca="1">RESULTADOS!BC51</f>
        <v>N/D</v>
      </c>
      <c r="BZ34" s="146" t="str">
        <f ca="1">RESULTADOS!BD51</f>
        <v>N/T</v>
      </c>
      <c r="CA34" s="146" t="str">
        <f ca="1">RESULTADOS!BE51</f>
        <v>N/T</v>
      </c>
      <c r="CB34" s="146" t="str">
        <f ca="1">RESULTADOS!BF51</f>
        <v>N/D</v>
      </c>
      <c r="CC34" s="146" t="str">
        <f ca="1">RESULTADOS!BG51</f>
        <v>N/D</v>
      </c>
      <c r="CD34" s="146" t="str">
        <f ca="1">RESULTADOS!BH51</f>
        <v>N/T</v>
      </c>
      <c r="CE34" s="146" t="str">
        <f ca="1">RESULTADOS!BI51</f>
        <v>N/D</v>
      </c>
      <c r="CF34" s="146" t="str">
        <f ca="1">RESULTADOS!BJ51</f>
        <v>N/D</v>
      </c>
      <c r="CG34" s="146" t="str">
        <f ca="1">RESULTADOS!BK51</f>
        <v>N/D</v>
      </c>
      <c r="CH34" s="146" t="str">
        <f ca="1">RESULTADOS!BL51</f>
        <v>N/D</v>
      </c>
      <c r="CI34" s="146" t="str">
        <f ca="1">RESULTADOS!BM51</f>
        <v>N/D</v>
      </c>
      <c r="CJ34" s="146" t="str">
        <f ca="1">RESULTADOS!BN51</f>
        <v>N/T</v>
      </c>
      <c r="CK34" s="146" t="str">
        <f ca="1">RESULTADOS!BO51</f>
        <v>N/D</v>
      </c>
      <c r="CL34" s="146" t="str">
        <f ca="1">RESULTADOS!BP51</f>
        <v>N/T</v>
      </c>
      <c r="CM34" s="146" t="str">
        <f ca="1">RESULTADOS!BQ51</f>
        <v>N/T</v>
      </c>
      <c r="CN34" s="146" t="str">
        <f ca="1">RESULTADOS!BR51</f>
        <v>N/D</v>
      </c>
      <c r="CO34" s="146" t="str">
        <f ca="1">RESULTADOS!BS51</f>
        <v>N/T</v>
      </c>
      <c r="CP34" s="146" t="str">
        <f ca="1">RESULTADOS!BT51</f>
        <v>N/D</v>
      </c>
      <c r="CQ34" s="146" t="str">
        <f ca="1">RESULTADOS!BU51</f>
        <v>N/D</v>
      </c>
      <c r="CR34" s="146" t="str">
        <f ca="1">RESULTADOS!BV51</f>
        <v>N/D</v>
      </c>
      <c r="CS34" s="146" t="str">
        <f ca="1">RESULTADOS!BW51</f>
        <v>N/D</v>
      </c>
      <c r="CT34" s="146" t="str">
        <f ca="1">RESULTADOS!BX51</f>
        <v>N/D</v>
      </c>
      <c r="CU34" s="146" t="str">
        <f ca="1">RESULTADOS!BY51</f>
        <v>N/T</v>
      </c>
      <c r="CV34" s="146" t="str">
        <f ca="1">RESULTADOS!BZ51</f>
        <v>N/T</v>
      </c>
      <c r="CW34" s="146" t="str">
        <f ca="1">RESULTADOS!CA51</f>
        <v>N/D</v>
      </c>
      <c r="CX34" s="146" t="str">
        <f ca="1">RESULTADOS!CB51</f>
        <v>N/T</v>
      </c>
      <c r="CY34" s="146" t="str">
        <f ca="1">RESULTADOS!CC51</f>
        <v>N/T</v>
      </c>
      <c r="CZ34" s="146" t="str">
        <f ca="1">RESULTADOS!CD51</f>
        <v>N/T</v>
      </c>
      <c r="DA34" s="146" t="str">
        <f ca="1">RESULTADOS!CE51</f>
        <v>N/D</v>
      </c>
      <c r="DB34" s="146" t="str">
        <f ca="1">RESULTADOS!CF51</f>
        <v>N/T</v>
      </c>
      <c r="DC34" s="146" t="str">
        <f ca="1">RESULTADOS!CG51</f>
        <v>N/T</v>
      </c>
      <c r="DD34" s="146" t="str">
        <f ca="1">RESULTADOS!CH51</f>
        <v>N/T</v>
      </c>
      <c r="DE34" s="146" t="str">
        <f ca="1">RESULTADOS!CI51</f>
        <v>N/T</v>
      </c>
      <c r="DF34" s="146" t="str">
        <f ca="1">RESULTADOS!CJ51</f>
        <v>N/T</v>
      </c>
      <c r="DG34" s="146" t="str">
        <f ca="1">RESULTADOS!CK51</f>
        <v>N/T</v>
      </c>
      <c r="DH34" s="146" t="str">
        <f ca="1">RESULTADOS!CL51</f>
        <v>N/T</v>
      </c>
      <c r="DI34" s="146" t="str">
        <f ca="1">RESULTADOS!CM51</f>
        <v>N/T</v>
      </c>
      <c r="DJ34" s="146" t="str">
        <f ca="1">RESULTADOS!CN51</f>
        <v>N/T</v>
      </c>
      <c r="DK34" s="146" t="str">
        <f ca="1">RESULTADOS!CO51</f>
        <v>N/T</v>
      </c>
      <c r="DL34" s="146" t="str">
        <f ca="1">RESULTADOS!CP51</f>
        <v>N/T</v>
      </c>
      <c r="DM34" s="146" t="str">
        <f ca="1">RESULTADOS!CQ51</f>
        <v>N/T</v>
      </c>
      <c r="DN34" s="146" t="str">
        <f ca="1">RESULTADOS!CR51</f>
        <v>N/T</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n">
        <f>RESULTADOS!B52</f>
        <v>1.0</v>
      </c>
      <c r="U35" s="148" t="str">
        <f>RESULTADOS!C52</f>
        <v>Home - PortCastelló</v>
      </c>
      <c r="V35" s="148" t="str">
        <f t="shared" si="0"/>
        <v>Página web</v>
      </c>
      <c r="W35" s="148" t="str">
        <v/>
      </c>
      <c r="X35" s="148" t="str">
        <f>RESULTADOS!D52</f>
        <v>https://www.portcastello.com/</v>
      </c>
      <c r="Y35" s="148" t="n">
        <v>0.0</v>
      </c>
      <c r="Z35" s="237" t="str">
        <v>Ej. Imágenes, tablas, listas, multimedia, formularios, plantilla X, plantilla Y</v>
      </c>
      <c r="AA35" s="146" t="str">
        <f ca="1">RESULTADOS!E52</f>
        <v>N/T</v>
      </c>
      <c r="AB35" s="146" t="str">
        <f ca="1">RESULTADOS!F52</f>
        <v>N/T</v>
      </c>
      <c r="AC35" s="146" t="str">
        <f ca="1">RESULTADOS!G52</f>
        <v>N/T</v>
      </c>
      <c r="AD35" s="146" t="str">
        <f ca="1">RESULTADOS!H52</f>
        <v>N/T</v>
      </c>
      <c r="AE35" s="146" t="str">
        <f ca="1">RESULTADOS!I52</f>
        <v>N/T</v>
      </c>
      <c r="AF35" s="146" t="str">
        <f ca="1">RESULTADOS!J52</f>
        <v>N/T</v>
      </c>
      <c r="AG35" s="146" t="str">
        <f ca="1">RESULTADOS!K52</f>
        <v>N/T</v>
      </c>
      <c r="AH35" s="146" t="str">
        <f ca="1">RESULTADOS!L52</f>
        <v>N/T</v>
      </c>
      <c r="AI35" s="146" t="str">
        <f ca="1">RESULTADOS!M52</f>
        <v>N/T</v>
      </c>
      <c r="AJ35" s="146" t="str">
        <f ca="1">RESULTADOS!N52</f>
        <v>N/T</v>
      </c>
      <c r="AK35" s="146" t="str">
        <f ca="1">RESULTADOS!O52</f>
        <v>N/T</v>
      </c>
      <c r="AL35" s="146" t="str">
        <f ca="1">RESULTADOS!P52</f>
        <v>N/T</v>
      </c>
      <c r="AM35" s="146" t="str">
        <f ca="1">RESULTADOS!Q52</f>
        <v>N/T</v>
      </c>
      <c r="AN35" s="146" t="str">
        <f ca="1">RESULTADOS!R52</f>
        <v>N/T</v>
      </c>
      <c r="AO35" s="146" t="str">
        <f ca="1">RESULTADOS!S52</f>
        <v>N/T</v>
      </c>
      <c r="AP35" s="146" t="str">
        <f ca="1">RESULTADOS!T52</f>
        <v>N/T</v>
      </c>
      <c r="AQ35" s="146" t="str">
        <f ca="1">RESULTADOS!U52</f>
        <v>N/T</v>
      </c>
      <c r="AR35" s="146" t="str">
        <f ca="1">RESULTADOS!V52</f>
        <v>N/T</v>
      </c>
      <c r="AS35" s="146" t="str">
        <f ca="1">RESULTADOS!W52</f>
        <v>N/T</v>
      </c>
      <c r="AT35" s="146" t="str">
        <f ca="1">RESULTADOS!X52</f>
        <v>N/T</v>
      </c>
      <c r="AU35" s="146" t="str">
        <f ca="1">RESULTADOS!Y52</f>
        <v>N/T</v>
      </c>
      <c r="AV35" s="146" t="str">
        <f ca="1">RESULTADOS!Z52</f>
        <v>N/T</v>
      </c>
      <c r="AW35" s="146" t="str">
        <f ca="1">RESULTADOS!AA52</f>
        <v>N/T</v>
      </c>
      <c r="AX35" s="146" t="str">
        <f ca="1">RESULTADOS!AB52</f>
        <v>N/T</v>
      </c>
      <c r="AY35" s="146" t="str">
        <f ca="1">RESULTADOS!AC52</f>
        <v>N/T</v>
      </c>
      <c r="AZ35" s="146" t="str">
        <f ca="1">RESULTADOS!AD52</f>
        <v>N/T</v>
      </c>
      <c r="BA35" s="146" t="str">
        <f ca="1">RESULTADOS!AE52</f>
        <v>N/T</v>
      </c>
      <c r="BB35" s="146" t="str">
        <f ca="1">RESULTADOS!AF52</f>
        <v>N/T</v>
      </c>
      <c r="BC35" s="146" t="str">
        <f ca="1">RESULTADOS!AG52</f>
        <v>N/T</v>
      </c>
      <c r="BD35" s="146" t="str">
        <f ca="1">RESULTADOS!AH52</f>
        <v>N/T</v>
      </c>
      <c r="BE35" s="146" t="str">
        <f ca="1">RESULTADOS!AI52</f>
        <v>N/T</v>
      </c>
      <c r="BF35" s="146" t="str">
        <f ca="1">RESULTADOS!AJ52</f>
        <v>N/D</v>
      </c>
      <c r="BG35" s="146" t="str">
        <f ca="1">RESULTADOS!AK52</f>
        <v>N/T</v>
      </c>
      <c r="BH35" s="146" t="str">
        <f ca="1">RESULTADOS!AL52</f>
        <v>N/T</v>
      </c>
      <c r="BI35" s="146" t="str">
        <f ca="1">RESULTADOS!AM52</f>
        <v>N/T</v>
      </c>
      <c r="BJ35" s="146" t="str">
        <f ca="1">RESULTADOS!AN52</f>
        <v>N/T</v>
      </c>
      <c r="BK35" s="146" t="str">
        <f ca="1">RESULTADOS!AO52</f>
        <v>N/D</v>
      </c>
      <c r="BL35" s="146" t="str">
        <f ca="1">RESULTADOS!AP52</f>
        <v>N/T</v>
      </c>
      <c r="BM35" s="146" t="str">
        <f ca="1">RESULTADOS!AQ52</f>
        <v>N/T</v>
      </c>
      <c r="BN35" s="146" t="str">
        <f ca="1">RESULTADOS!AR52</f>
        <v>N/D</v>
      </c>
      <c r="BO35" s="146" t="str">
        <f ca="1">RESULTADOS!AS52</f>
        <v>N/D</v>
      </c>
      <c r="BP35" s="146" t="str">
        <f ca="1">RESULTADOS!AT52</f>
        <v>N/T</v>
      </c>
      <c r="BQ35" s="146" t="str">
        <f ca="1">RESULTADOS!AU52</f>
        <v>N/T</v>
      </c>
      <c r="BR35" s="146" t="str">
        <f ca="1">RESULTADOS!AV52</f>
        <v>N/D</v>
      </c>
      <c r="BS35" s="146" t="str">
        <f ca="1">RESULTADOS!AW52</f>
        <v>N/T</v>
      </c>
      <c r="BT35" s="146" t="str">
        <f ca="1">RESULTADOS!AX52</f>
        <v>N/T</v>
      </c>
      <c r="BU35" s="146" t="str">
        <f ca="1">RESULTADOS!AY52</f>
        <v>N/D</v>
      </c>
      <c r="BV35" s="146" t="str">
        <f ca="1">RESULTADOS!AZ52</f>
        <v>N/T</v>
      </c>
      <c r="BW35" s="146" t="str">
        <f ca="1">RESULTADOS!BA52</f>
        <v>N/D</v>
      </c>
      <c r="BX35" s="146" t="str">
        <f ca="1">RESULTADOS!BB52</f>
        <v>N/T</v>
      </c>
      <c r="BY35" s="146" t="str">
        <f ca="1">RESULTADOS!BC52</f>
        <v>N/D</v>
      </c>
      <c r="BZ35" s="146" t="str">
        <f ca="1">RESULTADOS!BD52</f>
        <v>N/T</v>
      </c>
      <c r="CA35" s="146" t="str">
        <f ca="1">RESULTADOS!BE52</f>
        <v>N/T</v>
      </c>
      <c r="CB35" s="146" t="str">
        <f ca="1">RESULTADOS!BF52</f>
        <v>N/D</v>
      </c>
      <c r="CC35" s="146" t="str">
        <f ca="1">RESULTADOS!BG52</f>
        <v>N/D</v>
      </c>
      <c r="CD35" s="146" t="str">
        <f ca="1">RESULTADOS!BH52</f>
        <v>N/T</v>
      </c>
      <c r="CE35" s="146" t="str">
        <f ca="1">RESULTADOS!BI52</f>
        <v>N/D</v>
      </c>
      <c r="CF35" s="146" t="str">
        <f ca="1">RESULTADOS!BJ52</f>
        <v>N/D</v>
      </c>
      <c r="CG35" s="146" t="str">
        <f ca="1">RESULTADOS!BK52</f>
        <v>N/D</v>
      </c>
      <c r="CH35" s="146" t="str">
        <f ca="1">RESULTADOS!BL52</f>
        <v>N/D</v>
      </c>
      <c r="CI35" s="146" t="str">
        <f ca="1">RESULTADOS!BM52</f>
        <v>N/D</v>
      </c>
      <c r="CJ35" s="146" t="str">
        <f ca="1">RESULTADOS!BN52</f>
        <v>N/T</v>
      </c>
      <c r="CK35" s="146" t="str">
        <f ca="1">RESULTADOS!BO52</f>
        <v>N/D</v>
      </c>
      <c r="CL35" s="146" t="str">
        <f ca="1">RESULTADOS!BP52</f>
        <v>N/T</v>
      </c>
      <c r="CM35" s="146" t="str">
        <f ca="1">RESULTADOS!BQ52</f>
        <v>N/T</v>
      </c>
      <c r="CN35" s="146" t="str">
        <f ca="1">RESULTADOS!BR52</f>
        <v>N/D</v>
      </c>
      <c r="CO35" s="146" t="str">
        <f ca="1">RESULTADOS!BS52</f>
        <v>N/T</v>
      </c>
      <c r="CP35" s="146" t="str">
        <f ca="1">RESULTADOS!BT52</f>
        <v>N/D</v>
      </c>
      <c r="CQ35" s="146" t="str">
        <f ca="1">RESULTADOS!BU52</f>
        <v>N/D</v>
      </c>
      <c r="CR35" s="146" t="str">
        <f ca="1">RESULTADOS!BV52</f>
        <v>N/D</v>
      </c>
      <c r="CS35" s="146" t="str">
        <f ca="1">RESULTADOS!BW52</f>
        <v>N/D</v>
      </c>
      <c r="CT35" s="146" t="str">
        <f ca="1">RESULTADOS!BX52</f>
        <v>N/D</v>
      </c>
      <c r="CU35" s="146" t="str">
        <f ca="1">RESULTADOS!BY52</f>
        <v>N/T</v>
      </c>
      <c r="CV35" s="146" t="str">
        <f ca="1">RESULTADOS!BZ52</f>
        <v>N/T</v>
      </c>
      <c r="CW35" s="146" t="str">
        <f ca="1">RESULTADOS!CA52</f>
        <v>N/D</v>
      </c>
      <c r="CX35" s="146" t="str">
        <f ca="1">RESULTADOS!CB52</f>
        <v>N/T</v>
      </c>
      <c r="CY35" s="146" t="str">
        <f ca="1">RESULTADOS!CC52</f>
        <v>N/T</v>
      </c>
      <c r="CZ35" s="146" t="str">
        <f ca="1">RESULTADOS!CD52</f>
        <v>N/T</v>
      </c>
      <c r="DA35" s="146" t="str">
        <f ca="1">RESULTADOS!CE52</f>
        <v>N/D</v>
      </c>
      <c r="DB35" s="146" t="str">
        <f ca="1">RESULTADOS!CF52</f>
        <v>N/T</v>
      </c>
      <c r="DC35" s="146" t="str">
        <f ca="1">RESULTADOS!CG52</f>
        <v>N/T</v>
      </c>
      <c r="DD35" s="146" t="str">
        <f ca="1">RESULTADOS!CH52</f>
        <v>N/T</v>
      </c>
      <c r="DE35" s="146" t="str">
        <f ca="1">RESULTADOS!CI52</f>
        <v>N/T</v>
      </c>
      <c r="DF35" s="146" t="str">
        <f ca="1">RESULTADOS!CJ52</f>
        <v>N/T</v>
      </c>
      <c r="DG35" s="146" t="str">
        <f ca="1">RESULTADOS!CK52</f>
        <v>N/T</v>
      </c>
      <c r="DH35" s="146" t="str">
        <f ca="1">RESULTADOS!CL52</f>
        <v>N/T</v>
      </c>
      <c r="DI35" s="146" t="str">
        <f ca="1">RESULTADOS!CM52</f>
        <v>N/T</v>
      </c>
      <c r="DJ35" s="146" t="str">
        <f ca="1">RESULTADOS!CN52</f>
        <v>N/T</v>
      </c>
      <c r="DK35" s="146" t="str">
        <f ca="1">RESULTADOS!CO52</f>
        <v>N/T</v>
      </c>
      <c r="DL35" s="146" t="str">
        <f ca="1">RESULTADOS!CP52</f>
        <v>N/T</v>
      </c>
      <c r="DM35" s="146" t="str">
        <f ca="1">RESULTADOS!CQ52</f>
        <v>N/T</v>
      </c>
      <c r="DN35" s="146" t="str">
        <f ca="1">RESULTADOS!CR52</f>
        <v>N/T</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str">
        <f>RESULTADOS!B53</f>
        <v/>
      </c>
      <c r="U36" s="148" t="str">
        <f>RESULTADOS!C53</f>
        <v/>
      </c>
      <c r="V36" s="148" t="str">
        <f t="shared" si="0"/>
        <v/>
      </c>
      <c r="W36" s="148" t="str">
        <v/>
      </c>
      <c r="X36" s="148" t="str">
        <f>RESULTADOS!D53</f>
        <v/>
      </c>
      <c r="Y36" s="148" t="str">
        <v/>
      </c>
      <c r="Z36" s="237" t="str">
        <v/>
      </c>
      <c r="AA36" s="146" t="str">
        <f ca="1">RESULTADOS!E53</f>
        <v/>
      </c>
      <c r="AB36" s="146" t="str">
        <f ca="1">RESULTADOS!F53</f>
        <v/>
      </c>
      <c r="AC36" s="146" t="str">
        <f ca="1">RESULTADOS!G53</f>
        <v/>
      </c>
      <c r="AD36" s="146" t="str">
        <f ca="1">RESULTADOS!H53</f>
        <v/>
      </c>
      <c r="AE36" s="146" t="str">
        <f ca="1">RESULTADOS!I53</f>
        <v/>
      </c>
      <c r="AF36" s="146" t="str">
        <f ca="1">RESULTADOS!J53</f>
        <v/>
      </c>
      <c r="AG36" s="146" t="str">
        <f ca="1">RESULTADOS!K53</f>
        <v/>
      </c>
      <c r="AH36" s="146" t="str">
        <f ca="1">RESULTADOS!L53</f>
        <v/>
      </c>
      <c r="AI36" s="146" t="str">
        <f ca="1">RESULTADOS!M53</f>
        <v/>
      </c>
      <c r="AJ36" s="146" t="str">
        <f ca="1">RESULTADOS!N53</f>
        <v/>
      </c>
      <c r="AK36" s="146" t="str">
        <f ca="1">RESULTADOS!O53</f>
        <v/>
      </c>
      <c r="AL36" s="146" t="str">
        <f ca="1">RESULTADOS!P53</f>
        <v/>
      </c>
      <c r="AM36" s="146" t="str">
        <f ca="1">RESULTADOS!Q53</f>
        <v/>
      </c>
      <c r="AN36" s="146" t="str">
        <f ca="1">RESULTADOS!R53</f>
        <v/>
      </c>
      <c r="AO36" s="146" t="str">
        <f ca="1">RESULTADOS!S53</f>
        <v/>
      </c>
      <c r="AP36" s="146" t="str">
        <f ca="1">RESULTADOS!T53</f>
        <v/>
      </c>
      <c r="AQ36" s="146" t="str">
        <f ca="1">RESULTADOS!U53</f>
        <v/>
      </c>
      <c r="AR36" s="146" t="str">
        <f ca="1">RESULTADOS!V53</f>
        <v/>
      </c>
      <c r="AS36" s="146" t="str">
        <f ca="1">RESULTADOS!W53</f>
        <v/>
      </c>
      <c r="AT36" s="146" t="str">
        <f ca="1">RESULTADOS!X53</f>
        <v/>
      </c>
      <c r="AU36" s="146" t="str">
        <f ca="1">RESULTADOS!Y53</f>
        <v/>
      </c>
      <c r="AV36" s="146" t="str">
        <f ca="1">RESULTADOS!Z53</f>
        <v/>
      </c>
      <c r="AW36" s="146" t="str">
        <f ca="1">RESULTADOS!AA53</f>
        <v/>
      </c>
      <c r="AX36" s="146" t="str">
        <f ca="1">RESULTADOS!AB53</f>
        <v/>
      </c>
      <c r="AY36" s="146" t="str">
        <f ca="1">RESULTADOS!AC53</f>
        <v/>
      </c>
      <c r="AZ36" s="146" t="str">
        <f ca="1">RESULTADOS!AD53</f>
        <v/>
      </c>
      <c r="BA36" s="146" t="str">
        <f ca="1">RESULTADOS!AE53</f>
        <v/>
      </c>
      <c r="BB36" s="146" t="str">
        <f ca="1">RESULTADOS!AF53</f>
        <v/>
      </c>
      <c r="BC36" s="146" t="str">
        <f ca="1">RESULTADOS!AG53</f>
        <v/>
      </c>
      <c r="BD36" s="146" t="str">
        <f ca="1">RESULTADOS!AH53</f>
        <v/>
      </c>
      <c r="BE36" s="146" t="str">
        <f ca="1">RESULTADOS!AI53</f>
        <v/>
      </c>
      <c r="BF36" s="146" t="str">
        <f ca="1">RESULTADOS!AJ53</f>
        <v/>
      </c>
      <c r="BG36" s="146" t="str">
        <f ca="1">RESULTADOS!AK53</f>
        <v/>
      </c>
      <c r="BH36" s="146" t="str">
        <f ca="1">RESULTADOS!AL53</f>
        <v/>
      </c>
      <c r="BI36" s="146" t="str">
        <f ca="1">RESULTADOS!AM53</f>
        <v/>
      </c>
      <c r="BJ36" s="146" t="str">
        <f ca="1">RESULTADOS!AN53</f>
        <v/>
      </c>
      <c r="BK36" s="146" t="str">
        <f ca="1">RESULTADOS!AO53</f>
        <v/>
      </c>
      <c r="BL36" s="146" t="str">
        <f ca="1">RESULTADOS!AP53</f>
        <v/>
      </c>
      <c r="BM36" s="146" t="str">
        <f ca="1">RESULTADOS!AQ53</f>
        <v/>
      </c>
      <c r="BN36" s="146" t="str">
        <f ca="1">RESULTADOS!AR53</f>
        <v/>
      </c>
      <c r="BO36" s="146" t="str">
        <f ca="1">RESULTADOS!AS53</f>
        <v/>
      </c>
      <c r="BP36" s="146" t="str">
        <f ca="1">RESULTADOS!AT53</f>
        <v/>
      </c>
      <c r="BQ36" s="146" t="str">
        <f ca="1">RESULTADOS!AU53</f>
        <v/>
      </c>
      <c r="BR36" s="146" t="str">
        <f ca="1">RESULTADOS!AV53</f>
        <v/>
      </c>
      <c r="BS36" s="146" t="str">
        <f ca="1">RESULTADOS!AW53</f>
        <v/>
      </c>
      <c r="BT36" s="146" t="str">
        <f ca="1">RESULTADOS!AX53</f>
        <v/>
      </c>
      <c r="BU36" s="146" t="str">
        <f ca="1">RESULTADOS!AY53</f>
        <v/>
      </c>
      <c r="BV36" s="146" t="str">
        <f ca="1">RESULTADOS!AZ53</f>
        <v/>
      </c>
      <c r="BW36" s="146" t="str">
        <f ca="1">RESULTADOS!BA53</f>
        <v/>
      </c>
      <c r="BX36" s="146" t="str">
        <f ca="1">RESULTADOS!BB53</f>
        <v/>
      </c>
      <c r="BY36" s="146" t="str">
        <f ca="1">RESULTADOS!BC53</f>
        <v/>
      </c>
      <c r="BZ36" s="146" t="str">
        <f ca="1">RESULTADOS!BD53</f>
        <v/>
      </c>
      <c r="CA36" s="146" t="str">
        <f ca="1">RESULTADOS!BE53</f>
        <v/>
      </c>
      <c r="CB36" s="146" t="str">
        <f ca="1">RESULTADOS!BF53</f>
        <v/>
      </c>
      <c r="CC36" s="146" t="str">
        <f ca="1">RESULTADOS!BG53</f>
        <v/>
      </c>
      <c r="CD36" s="146" t="str">
        <f ca="1">RESULTADOS!BH53</f>
        <v/>
      </c>
      <c r="CE36" s="146" t="str">
        <f ca="1">RESULTADOS!BI53</f>
        <v/>
      </c>
      <c r="CF36" s="146" t="str">
        <f ca="1">RESULTADOS!BJ53</f>
        <v/>
      </c>
      <c r="CG36" s="146" t="str">
        <f ca="1">RESULTADOS!BK53</f>
        <v/>
      </c>
      <c r="CH36" s="146" t="str">
        <f ca="1">RESULTADOS!BL53</f>
        <v/>
      </c>
      <c r="CI36" s="146" t="str">
        <f ca="1">RESULTADOS!BM53</f>
        <v/>
      </c>
      <c r="CJ36" s="146" t="str">
        <f ca="1">RESULTADOS!BN53</f>
        <v/>
      </c>
      <c r="CK36" s="146" t="str">
        <f ca="1">RESULTADOS!BO53</f>
        <v/>
      </c>
      <c r="CL36" s="146" t="str">
        <f ca="1">RESULTADOS!BP53</f>
        <v/>
      </c>
      <c r="CM36" s="146" t="str">
        <f ca="1">RESULTADOS!BQ53</f>
        <v/>
      </c>
      <c r="CN36" s="146" t="str">
        <f ca="1">RESULTADOS!BR53</f>
        <v/>
      </c>
      <c r="CO36" s="146" t="str">
        <f ca="1">RESULTADOS!BS53</f>
        <v/>
      </c>
      <c r="CP36" s="146" t="str">
        <f ca="1">RESULTADOS!BT53</f>
        <v/>
      </c>
      <c r="CQ36" s="146" t="str">
        <f ca="1">RESULTADOS!BU53</f>
        <v/>
      </c>
      <c r="CR36" s="146" t="str">
        <f ca="1">RESULTADOS!BV53</f>
        <v/>
      </c>
      <c r="CS36" s="146" t="str">
        <f ca="1">RESULTADOS!BW53</f>
        <v/>
      </c>
      <c r="CT36" s="146" t="str">
        <f ca="1">RESULTADOS!BX53</f>
        <v/>
      </c>
      <c r="CU36" s="146" t="str">
        <f ca="1">RESULTADOS!BY53</f>
        <v/>
      </c>
      <c r="CV36" s="146" t="str">
        <f ca="1">RESULTADOS!BZ53</f>
        <v/>
      </c>
      <c r="CW36" s="146" t="str">
        <f ca="1">RESULTADOS!CA53</f>
        <v/>
      </c>
      <c r="CX36" s="146" t="str">
        <f ca="1">RESULTADOS!CB53</f>
        <v/>
      </c>
      <c r="CY36" s="146" t="str">
        <f ca="1">RESULTADOS!CC53</f>
        <v/>
      </c>
      <c r="CZ36" s="146" t="str">
        <f ca="1">RESULTADOS!CD53</f>
        <v/>
      </c>
      <c r="DA36" s="146" t="str">
        <f ca="1">RESULTADOS!CE53</f>
        <v/>
      </c>
      <c r="DB36" s="146" t="str">
        <f ca="1">RESULTADOS!CF53</f>
        <v/>
      </c>
      <c r="DC36" s="146" t="str">
        <f ca="1">RESULTADOS!CG53</f>
        <v/>
      </c>
      <c r="DD36" s="146" t="str">
        <f ca="1">RESULTADOS!CH53</f>
        <v/>
      </c>
      <c r="DE36" s="146" t="str">
        <f ca="1">RESULTADOS!CI53</f>
        <v/>
      </c>
      <c r="DF36" s="146" t="str">
        <f ca="1">RESULTADOS!CJ53</f>
        <v/>
      </c>
      <c r="DG36" s="146" t="str">
        <f ca="1">RESULTADOS!CK53</f>
        <v/>
      </c>
      <c r="DH36" s="146" t="str">
        <f ca="1">RESULTADOS!CL53</f>
        <v/>
      </c>
      <c r="DI36" s="146" t="str">
        <f ca="1">RESULTADOS!CM53</f>
        <v/>
      </c>
      <c r="DJ36" s="146" t="str">
        <f ca="1">RESULTADOS!CN53</f>
        <v/>
      </c>
      <c r="DK36" s="146" t="str">
        <f ca="1">RESULTADOS!CO53</f>
        <v/>
      </c>
      <c r="DL36" s="146" t="str">
        <f ca="1">RESULTADOS!CP53</f>
        <v/>
      </c>
      <c r="DM36" s="146" t="str">
        <f ca="1">RESULTADOS!CQ53</f>
        <v/>
      </c>
      <c r="DN36" s="146" t="str">
        <f ca="1">RESULTADOS!CR53</f>
        <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sheetCalcPr fullCalcOnLoad="true"/>
  <sheetProtection password="DC4E" sheet="true" scenarios="true" objects="true"/>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036"/>
  <sheetViews>
    <sheetView zoomScale="85" zoomScaleNormal="85" workbookViewId="0">
      <selection activeCell="C7" sqref="C7"/>
    </sheetView>
  </sheetViews>
  <sheetFormatPr baseColWidth="10" defaultColWidth="11.5703125" defaultRowHeight="12.75"/>
  <cols>
    <col min="1" max="1" style="14" width="11.5703125" collapsed="false"/>
    <col min="2" max="2" customWidth="true" style="14" width="79.85546875" collapsed="false"/>
    <col min="3" max="3" customWidth="true" style="14" width="126.42578125" collapsed="false"/>
    <col min="4" max="4" customWidth="true" style="14" width="8.140625" collapsed="false"/>
    <col min="5" max="5" customWidth="true" style="14" width="16.0" collapsed="false"/>
    <col min="6" max="11" customWidth="true" style="14" width="9.140625" collapsed="false"/>
    <col min="12" max="12" customWidth="true" style="14" width="23.140625" collapsed="false"/>
    <col min="13" max="13" customWidth="true" style="14" width="4.0" collapsed="false"/>
    <col min="14" max="19" customWidth="true" style="14" width="9.140625" collapsed="false"/>
    <col min="20" max="20" customWidth="true" style="14" width="20.0" collapsed="false"/>
    <col min="21" max="23" customWidth="true" style="14" width="9.140625" collapsed="false"/>
    <col min="24" max="26" customWidth="true" style="14" width="8.7109375" collapsed="false"/>
    <col min="27"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27"/>
      <c r="B3" s="65" t="s">
        <v>278</v>
      </c>
      <c r="C3" s="19"/>
      <c r="D3" s="248" t="s">
        <v>14</v>
      </c>
      <c r="E3" s="249"/>
      <c r="F3" s="19"/>
      <c r="G3" s="19"/>
      <c r="H3" s="19"/>
      <c r="I3" s="19"/>
      <c r="J3" s="19"/>
      <c r="K3" s="19"/>
      <c r="L3" s="19"/>
      <c r="M3" s="19"/>
      <c r="N3" s="19"/>
      <c r="O3" s="19"/>
      <c r="P3" s="19"/>
      <c r="Q3" s="19"/>
      <c r="R3" s="19"/>
      <c r="S3" s="19"/>
      <c r="T3" s="19"/>
      <c r="U3" s="19"/>
      <c r="V3" s="19"/>
      <c r="W3" s="19"/>
      <c r="X3" s="19"/>
      <c r="Y3" s="19"/>
      <c r="Z3" s="19"/>
    </row>
    <row r="4" spans="1:64" ht="16.7"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7" customHeight="1">
      <c r="C6" s="79"/>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127</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132</v>
      </c>
      <c r="C9" s="80"/>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135</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136</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6" t="s">
        <v>281</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137</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6" t="s">
        <v>282</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6" t="s">
        <v>283</v>
      </c>
      <c r="C25" s="80"/>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6" t="s">
        <v>284</v>
      </c>
      <c r="C27" s="80"/>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1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6" t="s">
        <v>285</v>
      </c>
      <c r="C29" s="80"/>
      <c r="D29" s="128"/>
      <c r="E29" s="128"/>
      <c r="F29" s="128"/>
      <c r="G29" s="128"/>
      <c r="H29" s="128"/>
      <c r="I29" s="128"/>
      <c r="J29" s="128"/>
      <c r="K29" s="128"/>
      <c r="L29" s="128"/>
      <c r="M29" s="128"/>
      <c r="N29" s="19"/>
      <c r="O29" s="19"/>
      <c r="P29" s="19"/>
      <c r="Q29" s="19"/>
      <c r="R29" s="19"/>
      <c r="S29" s="19"/>
      <c r="V29" s="19"/>
      <c r="W29" s="19"/>
      <c r="X29" s="19"/>
      <c r="Y29" s="19"/>
      <c r="Z29" s="19"/>
    </row>
    <row r="30" spans="1:26" ht="13.1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139</v>
      </c>
      <c r="C31" s="80"/>
      <c r="D31" s="128"/>
      <c r="E31" s="128"/>
      <c r="F31" s="128"/>
      <c r="G31" s="128"/>
      <c r="H31" s="128"/>
      <c r="I31" s="128"/>
      <c r="J31" s="128"/>
      <c r="K31" s="128"/>
      <c r="L31" s="128"/>
      <c r="M31" s="128"/>
      <c r="N31" s="19"/>
      <c r="O31" s="19"/>
      <c r="P31" s="19"/>
      <c r="Q31" s="19"/>
      <c r="R31" s="19"/>
      <c r="S31" s="19"/>
      <c r="V31" s="19"/>
      <c r="W31" s="19"/>
      <c r="X31" s="19"/>
      <c r="Y31" s="19"/>
      <c r="Z31" s="19"/>
    </row>
    <row r="32" spans="1:26" ht="10.7"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286</v>
      </c>
      <c r="C33" s="80"/>
    </row>
    <row r="34" spans="2:26" ht="10.7"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140</v>
      </c>
      <c r="C35" s="80" t="s">
        <v>480</v>
      </c>
      <c r="D35" s="128"/>
      <c r="E35" s="128"/>
      <c r="F35" s="128"/>
      <c r="G35" s="128"/>
      <c r="H35" s="128"/>
      <c r="I35" s="128"/>
      <c r="J35" s="128"/>
      <c r="K35" s="128"/>
      <c r="L35" s="128"/>
      <c r="M35" s="128"/>
    </row>
    <row r="36" spans="2:26" ht="11.45" customHeight="1">
      <c r="B36" s="16"/>
      <c r="C36" s="16"/>
    </row>
    <row r="37" spans="2:26" ht="14.1" customHeight="1">
      <c r="B37" s="127"/>
      <c r="C37" s="127"/>
      <c r="D37" s="19"/>
      <c r="E37" s="19"/>
      <c r="F37" s="19"/>
      <c r="G37" s="19"/>
      <c r="H37" s="19"/>
      <c r="I37" s="19"/>
      <c r="J37" s="19"/>
      <c r="K37" s="19"/>
      <c r="L37" s="19"/>
      <c r="M37" s="19"/>
      <c r="N37" s="19"/>
    </row>
    <row r="38" spans="2:26" ht="10.7"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142</v>
      </c>
      <c r="C39" s="188" t="s">
        <v>475</v>
      </c>
      <c r="D39" s="42"/>
      <c r="E39" s="19"/>
      <c r="F39" s="19"/>
      <c r="G39" s="19"/>
      <c r="H39" s="19"/>
      <c r="I39" s="19"/>
      <c r="J39" s="19"/>
      <c r="K39" s="19"/>
      <c r="L39" s="19"/>
      <c r="M39" s="19"/>
      <c r="N39" s="19"/>
      <c r="O39" s="19"/>
      <c r="Q39" s="19"/>
      <c r="R39" s="19"/>
      <c r="S39" s="19"/>
      <c r="U39" s="19"/>
      <c r="V39" s="19"/>
      <c r="W39" s="19"/>
      <c r="X39" s="19"/>
      <c r="Y39" s="19"/>
      <c r="Z39" s="19"/>
    </row>
    <row r="40" spans="2:26" ht="10.7"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143</v>
      </c>
      <c r="C41" s="80"/>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144</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147</v>
      </c>
      <c r="C47" s="152" t="s">
        <v>149</v>
      </c>
      <c r="D47" s="151" t="s">
        <v>148</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274</v>
      </c>
      <c r="D49" s="20" t="s">
        <v>6</v>
      </c>
      <c r="G49" s="81"/>
    </row>
    <row r="50" spans="2:26" ht="14.85" customHeight="1">
      <c r="C50" s="82" t="s">
        <v>275</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276</v>
      </c>
      <c r="D54" s="20" t="s">
        <v>6</v>
      </c>
      <c r="G54" s="81"/>
    </row>
    <row r="55" spans="2:26" ht="14.85" customHeight="1">
      <c r="C55" s="82" t="s">
        <v>277</v>
      </c>
      <c r="D55" s="20" t="s">
        <v>6</v>
      </c>
      <c r="G55" s="81"/>
    </row>
    <row r="56" spans="2:26" ht="14.85" customHeight="1">
      <c r="C56" s="82" t="s">
        <v>10</v>
      </c>
      <c r="D56" s="20" t="s">
        <v>6</v>
      </c>
      <c r="G56" s="81"/>
    </row>
    <row r="57" spans="2:26" ht="13.1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15" customHeight="1">
      <c r="B58" s="13" t="s">
        <v>146</v>
      </c>
      <c r="C58" s="80"/>
      <c r="D58" s="42"/>
      <c r="E58" s="19"/>
      <c r="F58" s="19"/>
      <c r="G58" s="19"/>
      <c r="H58" s="19"/>
      <c r="I58" s="19"/>
      <c r="J58" s="19"/>
      <c r="K58" s="19"/>
      <c r="L58" s="19"/>
      <c r="M58" s="19"/>
      <c r="N58" s="19"/>
      <c r="O58" s="19"/>
      <c r="P58" s="19"/>
      <c r="Q58" s="19"/>
      <c r="R58" s="19"/>
      <c r="S58" s="19"/>
      <c r="U58" s="19"/>
      <c r="V58" s="19"/>
      <c r="W58" s="19"/>
      <c r="X58" s="19"/>
      <c r="Y58" s="19"/>
      <c r="Z58" s="19"/>
    </row>
    <row r="59" spans="2:26" ht="10.7"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15" customHeight="1">
      <c r="B60" s="13" t="s">
        <v>12</v>
      </c>
      <c r="C60" s="80"/>
      <c r="D60" s="42"/>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CalcPr fullCalcOnLoad="true"/>
  <sheetProtection password="DC4E" sheet="true" scenarios="true" objects="true"/>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uri="{CCE6A557-97BC-4b89-ADB6-D9C93CAAB3DF}">
      <x14:dataValidations xmlns:xm="http://schemas.microsoft.com/office/excel/2006/main" count="4">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D48:D56</xm:sqref>
        </x14:dataValidation>
        <x14:dataValidation type="list" operator="equal" allowBlank="1" showErrorMessage="1" errorTitle="Error" error="Seleccione una de las opciones del desplegable.">
          <x14:formula1>
            <xm:f>'DATA - Oculta'!$G$9:$G$11</xm:f>
          </x14:formula1>
          <x14:formula2>
            <xm:f>0</xm:f>
          </x14:formula2>
          <xm:sqref>C58</xm:sqref>
        </x14:dataValidation>
        <x14:dataValidation type="list" allowBlank="1" showInputMessage="1" showErrorMessage="1">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H23"/>
  <sheetViews>
    <sheetView zoomScale="85" zoomScaleNormal="85" workbookViewId="0">
      <selection activeCell="B6" sqref="B6:L6"/>
    </sheetView>
  </sheetViews>
  <sheetFormatPr baseColWidth="10" defaultColWidth="11.5703125" defaultRowHeight="12.75"/>
  <cols>
    <col min="1" max="1" style="192" width="11.5703125" collapsed="false"/>
    <col min="2" max="2" customWidth="true" style="192" width="14.0" collapsed="false"/>
    <col min="3" max="3" customWidth="true" style="192" width="8.7109375" collapsed="false"/>
    <col min="4" max="4" customWidth="true" style="192" width="9.42578125" collapsed="false"/>
    <col min="5" max="5" customWidth="true" style="192" width="14.42578125" collapsed="false"/>
    <col min="6" max="6" customWidth="true" style="192" width="8.5703125" collapsed="false"/>
    <col min="7" max="7" style="192" width="11.5703125" collapsed="false"/>
    <col min="8" max="8" customWidth="true" style="192" width="12.0" collapsed="false"/>
    <col min="9" max="9" customWidth="true" style="192" width="8.7109375" collapsed="false"/>
    <col min="10" max="10" style="192" width="11.5703125" collapsed="false"/>
    <col min="11" max="11" customWidth="true" style="192" width="19.5703125" collapsed="false"/>
    <col min="12" max="12" customWidth="true" style="192" width="40.7109375" collapsed="false"/>
    <col min="13" max="16384" style="192" width="11.5703125" collapsed="false"/>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65" customHeight="1">
      <c r="A3" s="189"/>
      <c r="B3" s="194" t="s">
        <v>278</v>
      </c>
      <c r="C3" s="191"/>
      <c r="D3" s="191"/>
      <c r="E3" s="191"/>
      <c r="F3" s="191"/>
      <c r="G3" s="191"/>
      <c r="H3" s="191"/>
      <c r="I3" s="191"/>
      <c r="J3" s="191"/>
      <c r="K3" s="191"/>
      <c r="L3" s="191"/>
      <c r="M3" s="191"/>
      <c r="N3" s="191"/>
      <c r="O3" s="191"/>
      <c r="P3" s="191"/>
      <c r="Q3" s="191"/>
      <c r="R3" s="191"/>
      <c r="S3" s="191"/>
      <c r="T3" s="191"/>
      <c r="U3" s="191"/>
      <c r="V3" s="191"/>
    </row>
    <row r="4" spans="1:60" ht="16.7"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290</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5" customHeight="1" thickBot="1">
      <c r="B6" s="250" t="s">
        <v>291</v>
      </c>
      <c r="C6" s="250"/>
      <c r="D6" s="250"/>
      <c r="E6" s="250"/>
      <c r="F6" s="250"/>
      <c r="G6" s="250"/>
      <c r="H6" s="250"/>
      <c r="I6" s="250"/>
      <c r="J6" s="250"/>
      <c r="K6" s="250"/>
      <c r="L6" s="250"/>
    </row>
    <row r="7" spans="1:60" ht="33.200000000000003" customHeight="1" thickTop="1">
      <c r="B7" s="251" t="s">
        <v>292</v>
      </c>
      <c r="C7" s="251"/>
      <c r="D7" s="251"/>
      <c r="E7" s="251"/>
      <c r="F7" s="251"/>
      <c r="G7" s="251"/>
      <c r="H7" s="251"/>
      <c r="I7" s="251"/>
      <c r="J7" s="251"/>
      <c r="K7" s="251"/>
      <c r="L7" s="251"/>
    </row>
    <row r="8" spans="1:60" ht="21.6" customHeight="1"/>
    <row r="9" spans="1:60" ht="17.100000000000001" customHeight="1">
      <c r="B9" s="200" t="s">
        <v>293</v>
      </c>
      <c r="C9" s="201" t="s">
        <v>60</v>
      </c>
      <c r="E9" s="200" t="s">
        <v>294</v>
      </c>
      <c r="F9" s="201" t="s">
        <v>6</v>
      </c>
      <c r="H9" s="200" t="s">
        <v>295</v>
      </c>
      <c r="I9" s="201" t="s">
        <v>6</v>
      </c>
    </row>
    <row r="10" spans="1:60" ht="17.100000000000001" customHeight="1">
      <c r="B10" s="200" t="s">
        <v>296</v>
      </c>
      <c r="C10" s="201" t="s">
        <v>6</v>
      </c>
      <c r="E10" s="200" t="s">
        <v>297</v>
      </c>
      <c r="F10" s="201" t="s">
        <v>6</v>
      </c>
      <c r="H10" s="200" t="s">
        <v>298</v>
      </c>
      <c r="I10" s="201" t="s">
        <v>6</v>
      </c>
    </row>
    <row r="11" spans="1:60" ht="17.100000000000001" customHeight="1">
      <c r="B11" s="200" t="s">
        <v>299</v>
      </c>
      <c r="C11" s="201" t="s">
        <v>6</v>
      </c>
      <c r="E11" s="200" t="s">
        <v>300</v>
      </c>
      <c r="F11" s="201" t="s">
        <v>6</v>
      </c>
      <c r="H11" s="200" t="s">
        <v>301</v>
      </c>
      <c r="I11" s="201" t="s">
        <v>6</v>
      </c>
    </row>
    <row r="12" spans="1:60" ht="17.100000000000001" customHeight="1">
      <c r="B12" s="200" t="s">
        <v>302</v>
      </c>
      <c r="C12" s="201" t="s">
        <v>60</v>
      </c>
      <c r="E12" s="200" t="s">
        <v>303</v>
      </c>
      <c r="F12" s="201" t="s">
        <v>6</v>
      </c>
      <c r="H12" s="200" t="s">
        <v>304</v>
      </c>
      <c r="I12" s="201" t="s">
        <v>6</v>
      </c>
      <c r="K12" s="202" t="s">
        <v>305</v>
      </c>
      <c r="L12" s="202" t="s">
        <v>306</v>
      </c>
    </row>
    <row r="13" spans="1:60" ht="17.100000000000001" customHeight="1">
      <c r="B13" s="200" t="s">
        <v>307</v>
      </c>
      <c r="C13" s="201" t="s">
        <v>60</v>
      </c>
      <c r="E13" s="200" t="s">
        <v>308</v>
      </c>
      <c r="F13" s="201" t="s">
        <v>6</v>
      </c>
      <c r="K13" s="203"/>
      <c r="L13" s="203"/>
    </row>
    <row r="14" spans="1:60" ht="17.100000000000001" customHeight="1">
      <c r="K14" s="203"/>
      <c r="L14" s="203"/>
    </row>
    <row r="15" spans="1:60" ht="17.100000000000001" customHeight="1">
      <c r="K15" s="203"/>
      <c r="L15" s="203"/>
    </row>
    <row r="16" spans="1:60" ht="17.100000000000001" customHeight="1">
      <c r="K16" s="203"/>
      <c r="L16" s="203"/>
    </row>
    <row r="17" spans="3:12">
      <c r="C17" s="252" t="s">
        <v>309</v>
      </c>
      <c r="D17" s="253"/>
      <c r="E17" s="253"/>
      <c r="F17" s="253"/>
      <c r="G17" s="254"/>
      <c r="K17" s="203"/>
      <c r="L17" s="203"/>
    </row>
    <row r="18" spans="3:12">
      <c r="C18" s="255"/>
      <c r="D18" s="256"/>
      <c r="E18" s="256"/>
      <c r="F18" s="256"/>
      <c r="G18" s="257"/>
      <c r="K18" s="203"/>
      <c r="L18" s="203"/>
    </row>
    <row r="19" spans="3:12">
      <c r="C19" s="258"/>
      <c r="D19" s="259"/>
      <c r="E19" s="259"/>
      <c r="F19" s="259"/>
      <c r="G19" s="260"/>
      <c r="K19" s="203"/>
      <c r="L19" s="203"/>
    </row>
    <row r="20" spans="3:12">
      <c r="K20" s="203"/>
      <c r="L20" s="203"/>
    </row>
    <row r="21" spans="3:12">
      <c r="K21" s="203"/>
      <c r="L21" s="203"/>
    </row>
    <row r="22" spans="3:12">
      <c r="K22" s="203"/>
      <c r="L22" s="203"/>
    </row>
    <row r="23" spans="3:12">
      <c r="K23" s="203"/>
      <c r="L23" s="203"/>
    </row>
  </sheetData>
  <sheetCalcPr fullCalcOnLoad="true"/>
  <sheetProtection password="DC4E" sheet="true" scenarios="true" objects="true"/>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uri="{CCE6A557-97BC-4b89-ADB6-D9C93CAAB3DF}">
      <x14:dataValidations xmlns:xm="http://schemas.microsoft.com/office/excel/2006/main" count="1">
        <x14:dataValidation type="list" allowBlank="1" showInputMessage="1" showErrorMessage="1">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L981"/>
  <sheetViews>
    <sheetView zoomScale="85" zoomScaleNormal="85" workbookViewId="0">
      <selection activeCell="C8" sqref="C8"/>
    </sheetView>
  </sheetViews>
  <sheetFormatPr baseColWidth="10" defaultColWidth="11.5703125" defaultRowHeight="12.75"/>
  <cols>
    <col min="1" max="1" customWidth="true" style="14" width="11.7109375" collapsed="false"/>
    <col min="2" max="2" customWidth="true" style="14" width="9.5703125" collapsed="false"/>
    <col min="3" max="3" customWidth="true" style="14" width="27.28515625" collapsed="false"/>
    <col min="4" max="4" customWidth="true" style="14" width="19.140625" collapsed="false"/>
    <col min="5" max="5" bestFit="true" customWidth="true" style="14" width="27.5703125" collapsed="false"/>
    <col min="6" max="6" customWidth="true" style="14" width="72.5703125" collapsed="false"/>
    <col min="7" max="7" customWidth="true" style="14" width="64.7109375" collapsed="false"/>
    <col min="8" max="8" customWidth="true" style="14" width="134.42578125" collapsed="false"/>
    <col min="9" max="24" customWidth="true" style="14" width="8.7109375" collapsed="false"/>
    <col min="25"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27"/>
      <c r="B3" s="65" t="s">
        <v>278</v>
      </c>
      <c r="C3" s="19"/>
      <c r="D3" s="19"/>
      <c r="E3" s="19"/>
      <c r="G3" s="43" t="s">
        <v>14</v>
      </c>
      <c r="H3" s="19"/>
      <c r="I3" s="19"/>
      <c r="J3" s="19"/>
      <c r="K3" s="19"/>
      <c r="L3" s="19"/>
      <c r="M3" s="19"/>
      <c r="N3" s="19"/>
      <c r="O3" s="19"/>
      <c r="P3" s="19"/>
      <c r="Q3" s="19"/>
      <c r="R3" s="19"/>
      <c r="S3" s="19"/>
      <c r="T3" s="19"/>
      <c r="U3" s="19"/>
      <c r="V3" s="19"/>
      <c r="W3" s="19"/>
      <c r="X3" s="19"/>
      <c r="Y3" s="19"/>
    </row>
    <row r="4" spans="1:64" ht="16.7"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1" t="s">
        <v>15</v>
      </c>
      <c r="C5" s="261"/>
      <c r="D5" s="261"/>
      <c r="E5" s="261"/>
      <c r="F5" s="261"/>
      <c r="G5" s="261"/>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2" customHeight="1">
      <c r="B7" s="135" t="s">
        <v>16</v>
      </c>
      <c r="C7" s="135" t="s">
        <v>248</v>
      </c>
      <c r="D7" s="135" t="s">
        <v>249</v>
      </c>
      <c r="E7" s="135" t="s">
        <v>17</v>
      </c>
      <c r="F7" s="135" t="s">
        <v>310</v>
      </c>
      <c r="G7" s="135" t="s">
        <v>18</v>
      </c>
      <c r="H7" s="135" t="s">
        <v>19</v>
      </c>
      <c r="I7" s="19"/>
      <c r="J7" s="19"/>
      <c r="K7" s="19"/>
      <c r="L7" s="19"/>
      <c r="M7" s="19"/>
      <c r="N7" s="19"/>
      <c r="O7" s="19"/>
      <c r="P7" s="19"/>
      <c r="Q7" s="19"/>
      <c r="R7" s="19"/>
      <c r="S7" s="19"/>
      <c r="T7" s="19"/>
      <c r="U7" s="19"/>
      <c r="V7" s="19"/>
      <c r="W7" s="19"/>
      <c r="X7" s="19"/>
      <c r="Y7" s="19"/>
    </row>
    <row r="8" spans="1:64" ht="18.2" customHeight="1">
      <c r="B8" s="133">
        <v>1</v>
      </c>
      <c r="C8" s="134" t="s">
        <v>481</v>
      </c>
      <c r="D8" s="72" t="s">
        <v>482</v>
      </c>
      <c r="E8" s="72" t="s">
        <v>483</v>
      </c>
      <c r="F8" s="158" t="s">
        <v>484</v>
      </c>
      <c r="G8" s="72"/>
      <c r="H8" s="187" t="s">
        <v>20</v>
      </c>
      <c r="I8" s="19"/>
      <c r="J8" s="19"/>
      <c r="K8" s="19"/>
      <c r="L8" s="19"/>
      <c r="M8" s="19"/>
      <c r="N8" s="19"/>
      <c r="O8" s="19"/>
      <c r="P8" s="19"/>
      <c r="Q8" s="19"/>
      <c r="R8" s="19"/>
      <c r="S8" s="19"/>
      <c r="T8" s="19"/>
      <c r="U8" s="19"/>
      <c r="V8" s="19"/>
      <c r="W8" s="19"/>
      <c r="X8" s="19"/>
      <c r="Y8" s="19"/>
    </row>
    <row r="9" spans="1:64" ht="18.2" customHeight="1">
      <c r="B9" s="70">
        <v>2</v>
      </c>
      <c r="C9" s="71" t="s">
        <v>485</v>
      </c>
      <c r="D9" s="72" t="s">
        <v>482</v>
      </c>
      <c r="E9" s="72" t="s">
        <v>483</v>
      </c>
      <c r="F9" s="158" t="s">
        <v>486</v>
      </c>
      <c r="G9" s="72"/>
      <c r="H9" s="132"/>
      <c r="I9" s="19"/>
      <c r="J9" s="19"/>
      <c r="K9" s="19"/>
      <c r="L9" s="19"/>
      <c r="M9" s="19"/>
      <c r="N9" s="19"/>
      <c r="O9" s="19"/>
      <c r="P9" s="19"/>
      <c r="Q9" s="19"/>
      <c r="R9" s="19"/>
      <c r="S9" s="19"/>
      <c r="T9" s="19"/>
      <c r="U9" s="19"/>
      <c r="V9" s="19"/>
      <c r="W9" s="19"/>
      <c r="X9" s="19"/>
      <c r="Y9" s="19"/>
    </row>
    <row r="10" spans="1:64" ht="18.2" customHeight="1">
      <c r="B10" s="70">
        <v>3</v>
      </c>
      <c r="C10" s="71" t="s">
        <v>481</v>
      </c>
      <c r="D10" s="72" t="s">
        <v>482</v>
      </c>
      <c r="E10" s="72" t="s">
        <v>483</v>
      </c>
      <c r="F10" s="158" t="s">
        <v>487</v>
      </c>
      <c r="G10" s="72"/>
      <c r="H10" s="132"/>
      <c r="I10" s="19"/>
      <c r="J10" s="19"/>
      <c r="K10" s="19"/>
      <c r="L10" s="19"/>
      <c r="M10" s="19"/>
      <c r="N10" s="19"/>
      <c r="O10" s="19"/>
      <c r="P10" s="19"/>
      <c r="Q10" s="19"/>
      <c r="R10" s="19"/>
      <c r="S10" s="19"/>
      <c r="T10" s="19"/>
      <c r="U10" s="19"/>
      <c r="V10" s="19"/>
      <c r="W10" s="19"/>
      <c r="X10" s="19"/>
      <c r="Y10" s="19"/>
    </row>
    <row r="11" spans="1:64" ht="18.2" customHeight="1">
      <c r="B11" s="70">
        <v>4</v>
      </c>
      <c r="C11" s="71" t="s">
        <v>488</v>
      </c>
      <c r="D11" s="72" t="s">
        <v>482</v>
      </c>
      <c r="E11" s="72" t="s">
        <v>483</v>
      </c>
      <c r="F11" s="158" t="s">
        <v>489</v>
      </c>
      <c r="G11" s="72"/>
      <c r="H11" s="132" t="s">
        <v>4</v>
      </c>
      <c r="I11" s="19"/>
      <c r="J11" s="19"/>
      <c r="K11" s="19"/>
      <c r="L11" s="19"/>
      <c r="M11" s="19"/>
      <c r="N11" s="19"/>
      <c r="O11" s="19"/>
      <c r="P11" s="19"/>
      <c r="Q11" s="19"/>
      <c r="R11" s="19"/>
      <c r="S11" s="19"/>
      <c r="T11" s="19"/>
      <c r="U11" s="19"/>
      <c r="V11" s="19"/>
      <c r="W11" s="19"/>
      <c r="X11" s="19"/>
      <c r="Y11" s="19"/>
    </row>
    <row r="12" spans="1:64" ht="18.2" customHeight="1">
      <c r="B12" s="70">
        <v>5</v>
      </c>
      <c r="C12" s="71" t="s">
        <v>490</v>
      </c>
      <c r="D12" s="72" t="s">
        <v>482</v>
      </c>
      <c r="E12" s="72" t="s">
        <v>483</v>
      </c>
      <c r="F12" s="158" t="s">
        <v>491</v>
      </c>
      <c r="G12" s="72"/>
      <c r="H12" s="132"/>
      <c r="I12" s="19"/>
      <c r="J12" s="19"/>
      <c r="K12" s="19"/>
      <c r="L12" s="19"/>
      <c r="M12" s="19"/>
      <c r="N12" s="19"/>
      <c r="O12" s="19"/>
      <c r="P12" s="19"/>
      <c r="Q12" s="19"/>
      <c r="R12" s="19"/>
      <c r="S12" s="19"/>
      <c r="T12" s="19"/>
      <c r="U12" s="19"/>
      <c r="V12" s="19"/>
      <c r="W12" s="19"/>
      <c r="X12" s="19"/>
      <c r="Y12" s="19"/>
    </row>
    <row r="13" spans="1:64" ht="18.2" customHeight="1">
      <c r="B13" s="70">
        <v>6</v>
      </c>
      <c r="C13" s="71" t="s">
        <v>492</v>
      </c>
      <c r="D13" s="72" t="s">
        <v>482</v>
      </c>
      <c r="E13" s="72" t="s">
        <v>483</v>
      </c>
      <c r="F13" s="158" t="s">
        <v>493</v>
      </c>
      <c r="G13" s="72"/>
      <c r="H13" s="132"/>
      <c r="I13" s="19"/>
      <c r="J13" s="19"/>
      <c r="K13" s="19"/>
      <c r="L13" s="19"/>
      <c r="M13" s="19"/>
      <c r="N13" s="19"/>
      <c r="O13" s="19"/>
      <c r="P13" s="19"/>
      <c r="Q13" s="19"/>
      <c r="R13" s="19"/>
      <c r="S13" s="19"/>
      <c r="T13" s="19"/>
      <c r="V13" s="19"/>
      <c r="W13" s="19"/>
      <c r="X13" s="19"/>
      <c r="Y13" s="19"/>
    </row>
    <row r="14" spans="1:64" ht="18.2" customHeight="1">
      <c r="B14" s="70">
        <v>7</v>
      </c>
      <c r="C14" s="71" t="s">
        <v>494</v>
      </c>
      <c r="D14" s="72" t="s">
        <v>482</v>
      </c>
      <c r="E14" s="72" t="s">
        <v>483</v>
      </c>
      <c r="F14" s="158" t="s">
        <v>495</v>
      </c>
      <c r="G14" s="72"/>
      <c r="H14" s="132"/>
      <c r="I14" s="19"/>
      <c r="J14" s="19"/>
      <c r="K14" s="19"/>
      <c r="L14" s="19"/>
      <c r="M14" s="19"/>
      <c r="N14" s="19"/>
      <c r="O14" s="19"/>
      <c r="P14" s="19"/>
      <c r="Q14" s="19"/>
      <c r="R14" s="19"/>
      <c r="S14" s="19"/>
      <c r="T14" s="19"/>
      <c r="U14" s="19"/>
      <c r="V14" s="19"/>
      <c r="W14" s="19"/>
      <c r="X14" s="19"/>
      <c r="Y14" s="19"/>
    </row>
    <row r="15" spans="1:64" ht="18.2" customHeight="1">
      <c r="B15" s="70">
        <v>8</v>
      </c>
      <c r="C15" s="71" t="s">
        <v>496</v>
      </c>
      <c r="D15" s="72" t="s">
        <v>482</v>
      </c>
      <c r="E15" s="72" t="s">
        <v>483</v>
      </c>
      <c r="F15" s="158" t="s">
        <v>497</v>
      </c>
      <c r="G15" s="72"/>
      <c r="H15" s="132"/>
      <c r="I15" s="19"/>
      <c r="J15" s="19"/>
      <c r="K15" s="19"/>
      <c r="L15" s="19"/>
      <c r="M15" s="19"/>
      <c r="N15" s="19"/>
      <c r="O15" s="19"/>
      <c r="P15" s="19"/>
      <c r="Q15" s="19"/>
      <c r="R15" s="19"/>
      <c r="S15" s="19"/>
      <c r="T15" s="19"/>
      <c r="U15" s="19"/>
      <c r="V15" s="19"/>
      <c r="W15" s="19"/>
      <c r="X15" s="19"/>
      <c r="Y15" s="19"/>
    </row>
    <row r="16" spans="1:64" ht="18.2" customHeight="1">
      <c r="B16" s="70">
        <v>9</v>
      </c>
      <c r="C16" s="71" t="s">
        <v>498</v>
      </c>
      <c r="D16" s="72" t="s">
        <v>482</v>
      </c>
      <c r="E16" s="72" t="s">
        <v>483</v>
      </c>
      <c r="F16" s="158" t="s">
        <v>499</v>
      </c>
      <c r="G16" s="72"/>
      <c r="H16" s="132"/>
      <c r="I16" s="19"/>
      <c r="J16" s="19"/>
      <c r="K16" s="19"/>
      <c r="L16" s="19"/>
      <c r="M16" s="19"/>
      <c r="N16" s="19"/>
      <c r="O16" s="19"/>
      <c r="P16" s="19"/>
      <c r="Q16" s="19"/>
      <c r="R16" s="19"/>
      <c r="S16" s="19"/>
      <c r="T16" s="19"/>
      <c r="U16" s="19"/>
      <c r="V16" s="19"/>
      <c r="W16" s="19"/>
      <c r="X16" s="19"/>
      <c r="Y16" s="19"/>
    </row>
    <row r="17" spans="2:25" ht="18.2" customHeight="1">
      <c r="B17" s="70">
        <v>10</v>
      </c>
      <c r="C17" s="71" t="s">
        <v>498</v>
      </c>
      <c r="D17" s="72" t="s">
        <v>482</v>
      </c>
      <c r="E17" s="72" t="s">
        <v>483</v>
      </c>
      <c r="F17" s="158" t="s">
        <v>500</v>
      </c>
      <c r="G17" s="72"/>
      <c r="H17" s="132"/>
      <c r="I17" s="19"/>
      <c r="J17" s="19"/>
      <c r="K17" s="19"/>
      <c r="L17" s="19"/>
      <c r="M17" s="19"/>
      <c r="N17" s="19"/>
      <c r="O17" s="19"/>
      <c r="P17" s="19"/>
      <c r="Q17" s="19"/>
      <c r="R17" s="19"/>
      <c r="S17" s="19"/>
      <c r="T17" s="19"/>
      <c r="U17" s="19"/>
      <c r="V17" s="19"/>
      <c r="W17" s="19"/>
      <c r="X17" s="19"/>
      <c r="Y17" s="19"/>
    </row>
    <row r="18" spans="2:25" ht="18.2" customHeight="1">
      <c r="B18" s="70">
        <v>11</v>
      </c>
      <c r="C18" s="71" t="s">
        <v>501</v>
      </c>
      <c r="D18" s="72" t="s">
        <v>482</v>
      </c>
      <c r="E18" s="72" t="s">
        <v>483</v>
      </c>
      <c r="F18" s="158" t="s">
        <v>502</v>
      </c>
      <c r="G18" s="72"/>
      <c r="H18" s="132"/>
      <c r="I18" s="19"/>
      <c r="J18" s="19"/>
      <c r="K18" s="19"/>
      <c r="L18" s="19"/>
      <c r="M18" s="19"/>
      <c r="N18" s="19"/>
      <c r="O18" s="19"/>
      <c r="P18" s="19"/>
      <c r="Q18" s="19"/>
      <c r="R18" s="19"/>
      <c r="S18" s="19"/>
      <c r="T18" s="19"/>
      <c r="U18" s="19"/>
      <c r="V18" s="19"/>
      <c r="W18" s="19"/>
      <c r="X18" s="19"/>
      <c r="Y18" s="19"/>
    </row>
    <row r="19" spans="2:25" ht="18.2" customHeight="1">
      <c r="B19" s="70">
        <v>12</v>
      </c>
      <c r="C19" s="71" t="s">
        <v>503</v>
      </c>
      <c r="D19" s="72" t="s">
        <v>482</v>
      </c>
      <c r="E19" s="72" t="s">
        <v>483</v>
      </c>
      <c r="F19" s="158" t="s">
        <v>504</v>
      </c>
      <c r="G19" s="72"/>
      <c r="H19" s="132"/>
      <c r="I19" s="19"/>
      <c r="J19" s="19"/>
      <c r="K19" s="19"/>
      <c r="L19" s="19"/>
      <c r="M19" s="19"/>
      <c r="N19" s="19"/>
      <c r="O19" s="19"/>
      <c r="P19" s="19"/>
      <c r="Q19" s="19"/>
      <c r="R19" s="19"/>
      <c r="S19" s="19"/>
      <c r="T19" s="19"/>
      <c r="U19" s="19"/>
      <c r="V19" s="19"/>
      <c r="W19" s="19"/>
      <c r="X19" s="19"/>
      <c r="Y19" s="19"/>
    </row>
    <row r="20" spans="2:25" ht="18.2" customHeight="1">
      <c r="B20" s="70">
        <v>13</v>
      </c>
      <c r="C20" s="71" t="s">
        <v>505</v>
      </c>
      <c r="D20" s="72" t="s">
        <v>482</v>
      </c>
      <c r="E20" s="72" t="s">
        <v>483</v>
      </c>
      <c r="F20" s="158" t="s">
        <v>506</v>
      </c>
      <c r="G20" s="72"/>
      <c r="H20" s="132"/>
      <c r="I20" s="19"/>
      <c r="J20" s="19"/>
      <c r="K20" s="19"/>
      <c r="L20" s="19"/>
      <c r="M20" s="19"/>
      <c r="N20" s="19"/>
      <c r="O20" s="19"/>
      <c r="P20" s="19"/>
      <c r="Q20" s="19"/>
      <c r="R20" s="19"/>
      <c r="S20" s="19"/>
      <c r="T20" s="19"/>
      <c r="U20" s="19"/>
      <c r="V20" s="19"/>
      <c r="W20" s="19"/>
      <c r="X20" s="19"/>
      <c r="Y20" s="19"/>
    </row>
    <row r="21" spans="2:25" ht="18.2" customHeight="1">
      <c r="B21" s="70">
        <v>14</v>
      </c>
      <c r="C21" s="71" t="s">
        <v>507</v>
      </c>
      <c r="D21" s="72" t="s">
        <v>482</v>
      </c>
      <c r="E21" s="72" t="s">
        <v>483</v>
      </c>
      <c r="F21" s="158" t="s">
        <v>508</v>
      </c>
      <c r="G21" s="72"/>
      <c r="H21" s="132"/>
      <c r="I21" s="19"/>
      <c r="J21" s="19"/>
      <c r="K21" s="19"/>
      <c r="L21" s="19"/>
      <c r="M21" s="19"/>
      <c r="N21" s="19"/>
      <c r="O21" s="19"/>
      <c r="P21" s="19"/>
      <c r="Q21" s="19"/>
      <c r="R21" s="19"/>
      <c r="S21" s="19"/>
      <c r="T21" s="19"/>
      <c r="U21" s="19"/>
      <c r="V21" s="19"/>
      <c r="W21" s="19"/>
      <c r="X21" s="19"/>
      <c r="Y21" s="19"/>
    </row>
    <row r="22" spans="2:25" ht="18.2" customHeight="1">
      <c r="B22" s="70">
        <v>15</v>
      </c>
      <c r="C22" s="71" t="s">
        <v>509</v>
      </c>
      <c r="D22" s="72" t="s">
        <v>482</v>
      </c>
      <c r="E22" s="72" t="s">
        <v>483</v>
      </c>
      <c r="F22" s="158" t="s">
        <v>510</v>
      </c>
      <c r="G22" s="72"/>
      <c r="H22" s="132"/>
      <c r="I22" s="19"/>
      <c r="J22" s="19"/>
      <c r="K22" s="19"/>
      <c r="L22" s="19"/>
      <c r="M22" s="19"/>
      <c r="N22" s="19"/>
      <c r="O22" s="19"/>
      <c r="P22" s="19"/>
      <c r="Q22" s="19"/>
      <c r="R22" s="19"/>
      <c r="S22" s="19"/>
      <c r="T22" s="19"/>
      <c r="U22" s="19"/>
      <c r="V22" s="19"/>
      <c r="W22" s="19"/>
      <c r="X22" s="19"/>
      <c r="Y22" s="19"/>
    </row>
    <row r="23" spans="2:25" ht="18.2" customHeight="1">
      <c r="B23" s="70">
        <v>16</v>
      </c>
      <c r="C23" s="71" t="s">
        <v>511</v>
      </c>
      <c r="D23" s="72" t="s">
        <v>482</v>
      </c>
      <c r="E23" s="72" t="s">
        <v>483</v>
      </c>
      <c r="F23" s="158" t="s">
        <v>512</v>
      </c>
      <c r="G23" s="72"/>
      <c r="H23" s="132"/>
      <c r="I23" s="19"/>
      <c r="J23" s="19"/>
      <c r="K23" s="19"/>
      <c r="L23" s="19"/>
      <c r="M23" s="19"/>
      <c r="N23" s="19"/>
      <c r="O23" s="19"/>
      <c r="P23" s="19"/>
      <c r="Q23" s="19"/>
      <c r="R23" s="19"/>
      <c r="S23" s="19"/>
      <c r="T23" s="19"/>
      <c r="U23" s="19"/>
      <c r="V23" s="19"/>
      <c r="W23" s="19"/>
      <c r="X23" s="19"/>
      <c r="Y23" s="19"/>
    </row>
    <row r="24" spans="2:25" ht="18.2" customHeight="1">
      <c r="B24" s="70">
        <v>17</v>
      </c>
      <c r="C24" s="71" t="s">
        <v>488</v>
      </c>
      <c r="D24" s="72" t="s">
        <v>482</v>
      </c>
      <c r="E24" s="72" t="s">
        <v>483</v>
      </c>
      <c r="F24" s="158" t="s">
        <v>513</v>
      </c>
      <c r="G24" s="72"/>
      <c r="H24" s="132"/>
      <c r="I24" s="19"/>
      <c r="J24" s="19"/>
      <c r="K24" s="19"/>
      <c r="L24" s="19"/>
      <c r="M24" s="19"/>
      <c r="N24" s="19"/>
      <c r="O24" s="19"/>
      <c r="P24" s="19"/>
      <c r="Q24" s="19"/>
      <c r="R24" s="19"/>
      <c r="S24" s="19"/>
      <c r="T24" s="19"/>
      <c r="U24" s="19"/>
      <c r="V24" s="19"/>
      <c r="W24" s="19"/>
      <c r="X24" s="19"/>
      <c r="Y24" s="19"/>
    </row>
    <row r="25" spans="2:25" ht="18.2" customHeight="1">
      <c r="B25" s="70">
        <v>18</v>
      </c>
      <c r="C25" s="71" t="s">
        <v>514</v>
      </c>
      <c r="D25" s="72" t="s">
        <v>482</v>
      </c>
      <c r="E25" s="72" t="s">
        <v>483</v>
      </c>
      <c r="F25" s="158" t="s">
        <v>515</v>
      </c>
      <c r="G25" s="72"/>
      <c r="H25" s="132"/>
      <c r="I25" s="19"/>
      <c r="J25" s="19"/>
      <c r="K25" s="19"/>
      <c r="L25" s="19"/>
      <c r="M25" s="19"/>
      <c r="N25" s="19"/>
      <c r="O25" s="19"/>
      <c r="P25" s="19"/>
      <c r="Q25" s="19"/>
      <c r="R25" s="19"/>
      <c r="S25" s="19"/>
      <c r="T25" s="19"/>
      <c r="U25" s="19"/>
      <c r="V25" s="19"/>
      <c r="W25" s="19"/>
      <c r="X25" s="19"/>
      <c r="Y25" s="19"/>
    </row>
    <row r="26" spans="2:25" ht="18.2" customHeight="1">
      <c r="B26" s="70">
        <v>19</v>
      </c>
      <c r="C26" s="71" t="s">
        <v>516</v>
      </c>
      <c r="D26" s="72" t="s">
        <v>482</v>
      </c>
      <c r="E26" s="72" t="s">
        <v>483</v>
      </c>
      <c r="F26" s="158" t="s">
        <v>517</v>
      </c>
      <c r="G26" s="72"/>
      <c r="H26" s="132"/>
      <c r="I26" s="19"/>
      <c r="J26" s="19"/>
      <c r="K26" s="19"/>
      <c r="L26" s="19"/>
      <c r="M26" s="19"/>
      <c r="N26" s="19"/>
      <c r="O26" s="19"/>
      <c r="P26" s="19"/>
      <c r="Q26" s="19"/>
      <c r="R26" s="19"/>
      <c r="S26" s="19"/>
      <c r="T26" s="19"/>
      <c r="U26" s="19"/>
      <c r="V26" s="19"/>
      <c r="W26" s="19"/>
      <c r="X26" s="19"/>
      <c r="Y26" s="19"/>
    </row>
    <row r="27" spans="2:25" ht="18.2" customHeight="1">
      <c r="B27" s="70">
        <v>20</v>
      </c>
      <c r="C27" s="71" t="s">
        <v>518</v>
      </c>
      <c r="D27" s="72" t="s">
        <v>482</v>
      </c>
      <c r="E27" s="72" t="s">
        <v>483</v>
      </c>
      <c r="F27" s="158" t="s">
        <v>519</v>
      </c>
      <c r="G27" s="72"/>
      <c r="H27" s="132"/>
      <c r="I27" s="19"/>
      <c r="J27" s="19"/>
      <c r="K27" s="19"/>
      <c r="L27" s="19"/>
      <c r="M27" s="19"/>
      <c r="N27" s="19"/>
      <c r="O27" s="19"/>
      <c r="P27" s="19"/>
      <c r="Q27" s="19"/>
      <c r="R27" s="19"/>
      <c r="S27" s="19"/>
      <c r="T27" s="19"/>
      <c r="U27" s="19"/>
      <c r="V27" s="19"/>
      <c r="W27" s="19"/>
      <c r="X27" s="19"/>
      <c r="Y27" s="19"/>
    </row>
    <row r="28" spans="2:25" ht="18.2" customHeight="1">
      <c r="B28" s="70">
        <v>21</v>
      </c>
      <c r="C28" s="71" t="s">
        <v>520</v>
      </c>
      <c r="D28" s="72" t="s">
        <v>482</v>
      </c>
      <c r="E28" s="72" t="s">
        <v>483</v>
      </c>
      <c r="F28" s="158" t="s">
        <v>521</v>
      </c>
      <c r="G28" s="72"/>
      <c r="H28" s="132"/>
      <c r="I28" s="19"/>
      <c r="J28" s="19"/>
      <c r="K28" s="19"/>
      <c r="L28" s="19"/>
      <c r="M28" s="19"/>
      <c r="N28" s="19"/>
      <c r="O28" s="19"/>
      <c r="P28" s="19"/>
      <c r="Q28" s="19"/>
      <c r="R28" s="19"/>
      <c r="S28" s="19"/>
      <c r="T28" s="19"/>
      <c r="U28" s="19"/>
      <c r="V28" s="19"/>
      <c r="W28" s="19"/>
      <c r="X28" s="19"/>
      <c r="Y28" s="19"/>
    </row>
    <row r="29" spans="2:25" ht="18.2" customHeight="1">
      <c r="B29" s="70">
        <v>22</v>
      </c>
      <c r="C29" s="71" t="s">
        <v>522</v>
      </c>
      <c r="D29" s="72" t="s">
        <v>482</v>
      </c>
      <c r="E29" s="72" t="s">
        <v>483</v>
      </c>
      <c r="F29" s="158" t="s">
        <v>523</v>
      </c>
      <c r="G29" s="72"/>
      <c r="H29" s="132"/>
      <c r="I29" s="19"/>
      <c r="J29" s="19"/>
      <c r="K29" s="19"/>
      <c r="L29" s="19"/>
      <c r="M29" s="19"/>
      <c r="N29" s="19"/>
      <c r="O29" s="19"/>
      <c r="P29" s="19"/>
      <c r="Q29" s="19"/>
      <c r="R29" s="19"/>
      <c r="S29" s="19"/>
      <c r="T29" s="19"/>
      <c r="U29" s="19"/>
      <c r="V29" s="19"/>
      <c r="W29" s="19"/>
      <c r="X29" s="19"/>
      <c r="Y29" s="19"/>
    </row>
    <row r="30" spans="2:25" ht="18.2" customHeight="1">
      <c r="B30" s="70">
        <v>23</v>
      </c>
      <c r="C30" s="71" t="s">
        <v>524</v>
      </c>
      <c r="D30" s="72" t="s">
        <v>482</v>
      </c>
      <c r="E30" s="72" t="s">
        <v>483</v>
      </c>
      <c r="F30" s="158" t="s">
        <v>525</v>
      </c>
      <c r="G30" s="72"/>
      <c r="H30" s="132"/>
      <c r="I30" s="19"/>
      <c r="J30" s="19"/>
      <c r="K30" s="19"/>
      <c r="L30" s="19"/>
      <c r="M30" s="19"/>
      <c r="N30" s="19"/>
      <c r="O30" s="19"/>
      <c r="P30" s="19"/>
      <c r="Q30" s="19"/>
      <c r="R30" s="19"/>
      <c r="S30" s="19"/>
      <c r="T30" s="19"/>
      <c r="U30" s="19"/>
      <c r="V30" s="19"/>
      <c r="W30" s="19"/>
      <c r="X30" s="19"/>
      <c r="Y30" s="19"/>
    </row>
    <row r="31" spans="2:25" ht="18.2" customHeight="1">
      <c r="B31" s="70">
        <v>24</v>
      </c>
      <c r="C31" s="71" t="s">
        <v>526</v>
      </c>
      <c r="D31" s="72" t="s">
        <v>482</v>
      </c>
      <c r="E31" s="72" t="s">
        <v>483</v>
      </c>
      <c r="F31" s="158" t="s">
        <v>527</v>
      </c>
      <c r="G31" s="72"/>
      <c r="H31" s="132"/>
      <c r="I31" s="19"/>
      <c r="J31" s="19"/>
      <c r="K31" s="19"/>
      <c r="L31" s="19"/>
      <c r="M31" s="19"/>
      <c r="N31" s="19"/>
      <c r="O31" s="19"/>
      <c r="P31" s="19"/>
      <c r="Q31" s="19"/>
      <c r="R31" s="19"/>
      <c r="S31" s="19"/>
      <c r="T31" s="19"/>
      <c r="U31" s="19"/>
      <c r="V31" s="19"/>
      <c r="W31" s="19"/>
      <c r="X31" s="19"/>
      <c r="Y31" s="19"/>
    </row>
    <row r="32" spans="2:25" ht="18.2" customHeight="1">
      <c r="B32" s="70">
        <v>25</v>
      </c>
      <c r="C32" s="71" t="s">
        <v>528</v>
      </c>
      <c r="D32" s="72" t="s">
        <v>482</v>
      </c>
      <c r="E32" s="72" t="s">
        <v>483</v>
      </c>
      <c r="F32" s="158" t="s">
        <v>529</v>
      </c>
      <c r="G32" s="72"/>
      <c r="H32" s="132"/>
      <c r="I32" s="19"/>
      <c r="J32" s="19"/>
      <c r="K32" s="19"/>
      <c r="L32" s="19"/>
      <c r="M32" s="19"/>
      <c r="N32" s="19"/>
      <c r="O32" s="19"/>
      <c r="P32" s="19"/>
      <c r="Q32" s="19"/>
      <c r="R32" s="19"/>
      <c r="S32" s="19"/>
      <c r="T32" s="19"/>
      <c r="U32" s="19"/>
      <c r="V32" s="19"/>
      <c r="W32" s="19"/>
      <c r="X32" s="19"/>
      <c r="Y32" s="19"/>
    </row>
    <row r="33" spans="2:25" ht="18.2" customHeight="1">
      <c r="B33" s="70">
        <v>26</v>
      </c>
      <c r="C33" s="71" t="s">
        <v>530</v>
      </c>
      <c r="D33" s="72" t="s">
        <v>482</v>
      </c>
      <c r="E33" s="72" t="s">
        <v>483</v>
      </c>
      <c r="F33" s="158" t="s">
        <v>531</v>
      </c>
      <c r="G33" s="72"/>
      <c r="H33" s="132"/>
      <c r="I33" s="19"/>
      <c r="J33" s="19"/>
      <c r="K33" s="19"/>
      <c r="L33" s="19"/>
      <c r="M33" s="19"/>
      <c r="N33" s="19"/>
      <c r="O33" s="19"/>
      <c r="P33" s="19"/>
      <c r="Q33" s="19"/>
      <c r="R33" s="19"/>
      <c r="S33" s="19"/>
      <c r="T33" s="19"/>
      <c r="U33" s="19"/>
      <c r="V33" s="19"/>
      <c r="W33" s="19"/>
      <c r="X33" s="19"/>
      <c r="Y33" s="19"/>
    </row>
    <row r="34" spans="2:25" ht="18.2" customHeight="1">
      <c r="B34" s="70">
        <v>27</v>
      </c>
      <c r="C34" s="71" t="s">
        <v>532</v>
      </c>
      <c r="D34" s="72" t="s">
        <v>482</v>
      </c>
      <c r="E34" s="72" t="s">
        <v>483</v>
      </c>
      <c r="F34" s="158" t="s">
        <v>533</v>
      </c>
      <c r="G34" s="72"/>
      <c r="H34" s="132"/>
      <c r="I34" s="19"/>
      <c r="J34" s="19"/>
      <c r="K34" s="19"/>
      <c r="L34" s="19"/>
      <c r="M34" s="19"/>
      <c r="N34" s="19"/>
      <c r="O34" s="19"/>
      <c r="P34" s="19"/>
      <c r="Q34" s="19"/>
      <c r="R34" s="19"/>
      <c r="S34" s="19"/>
      <c r="T34" s="19"/>
      <c r="U34" s="19"/>
      <c r="V34" s="19"/>
      <c r="W34" s="19"/>
      <c r="X34" s="19"/>
      <c r="Y34" s="19"/>
    </row>
    <row r="35" spans="2:25" ht="18.2" customHeight="1">
      <c r="B35" s="70">
        <v>28</v>
      </c>
      <c r="C35" s="71" t="s">
        <v>534</v>
      </c>
      <c r="D35" s="72" t="s">
        <v>482</v>
      </c>
      <c r="E35" s="72" t="s">
        <v>483</v>
      </c>
      <c r="F35" s="158" t="s">
        <v>535</v>
      </c>
      <c r="G35" s="72"/>
      <c r="H35" s="132"/>
      <c r="I35" s="19"/>
      <c r="J35" s="19"/>
      <c r="K35" s="19"/>
      <c r="L35" s="19"/>
      <c r="M35" s="19"/>
      <c r="N35" s="19"/>
      <c r="O35" s="19"/>
      <c r="P35" s="19"/>
      <c r="Q35" s="19"/>
      <c r="R35" s="19"/>
      <c r="S35" s="19"/>
      <c r="T35" s="19"/>
      <c r="U35" s="19"/>
      <c r="V35" s="19"/>
      <c r="W35" s="19"/>
      <c r="X35" s="19"/>
      <c r="Y35" s="19"/>
    </row>
    <row r="36" spans="2:25" ht="18.2" customHeight="1">
      <c r="B36" s="70">
        <v>29</v>
      </c>
      <c r="C36" s="71" t="s">
        <v>536</v>
      </c>
      <c r="D36" s="72" t="s">
        <v>482</v>
      </c>
      <c r="E36" s="72" t="s">
        <v>483</v>
      </c>
      <c r="F36" s="158" t="s">
        <v>537</v>
      </c>
      <c r="G36" s="72"/>
      <c r="H36" s="132"/>
      <c r="I36" s="19"/>
      <c r="J36" s="19"/>
      <c r="K36" s="19"/>
      <c r="L36" s="19"/>
      <c r="M36" s="19"/>
      <c r="N36" s="19"/>
      <c r="O36" s="19"/>
      <c r="P36" s="19"/>
      <c r="Q36" s="19"/>
      <c r="R36" s="19"/>
      <c r="S36" s="19"/>
      <c r="T36" s="19"/>
      <c r="U36" s="19"/>
      <c r="V36" s="19"/>
      <c r="W36" s="19"/>
      <c r="X36" s="19"/>
      <c r="Y36" s="19"/>
    </row>
    <row r="37" spans="2:25" ht="18.2" customHeight="1">
      <c r="B37" s="70">
        <v>30</v>
      </c>
      <c r="C37" s="71" t="s">
        <v>538</v>
      </c>
      <c r="D37" s="72" t="s">
        <v>482</v>
      </c>
      <c r="E37" s="72" t="s">
        <v>483</v>
      </c>
      <c r="F37" s="158" t="s">
        <v>539</v>
      </c>
      <c r="G37" s="72"/>
      <c r="H37" s="132"/>
      <c r="I37" s="19"/>
      <c r="J37" s="19"/>
      <c r="K37" s="19"/>
      <c r="L37" s="19"/>
      <c r="M37" s="19"/>
      <c r="N37" s="19"/>
      <c r="O37" s="19"/>
      <c r="P37" s="19"/>
      <c r="Q37" s="19"/>
      <c r="R37" s="19"/>
      <c r="S37" s="19"/>
      <c r="T37" s="19"/>
      <c r="U37" s="19"/>
      <c r="V37" s="19"/>
      <c r="W37" s="19"/>
      <c r="X37" s="19"/>
      <c r="Y37" s="19"/>
    </row>
    <row r="38" spans="2:25" ht="18.2" customHeight="1">
      <c r="B38" s="70">
        <v>31</v>
      </c>
      <c r="C38" s="71" t="s">
        <v>540</v>
      </c>
      <c r="D38" s="72" t="s">
        <v>482</v>
      </c>
      <c r="E38" s="72" t="s">
        <v>483</v>
      </c>
      <c r="F38" s="158" t="s">
        <v>541</v>
      </c>
      <c r="G38" s="72"/>
      <c r="H38" s="132"/>
      <c r="I38" s="19"/>
      <c r="J38" s="19"/>
      <c r="K38" s="19"/>
      <c r="L38" s="19"/>
      <c r="M38" s="19"/>
      <c r="N38" s="19"/>
      <c r="O38" s="19"/>
      <c r="P38" s="19"/>
      <c r="Q38" s="19"/>
      <c r="R38" s="19"/>
      <c r="S38" s="19"/>
      <c r="T38" s="19"/>
      <c r="U38" s="19"/>
      <c r="V38" s="19"/>
      <c r="W38" s="19"/>
      <c r="X38" s="19"/>
      <c r="Y38" s="19"/>
    </row>
    <row r="39" spans="2:25" ht="18.2" customHeight="1">
      <c r="B39" s="70">
        <v>32</v>
      </c>
      <c r="C39" s="71" t="s">
        <v>542</v>
      </c>
      <c r="D39" s="72" t="s">
        <v>482</v>
      </c>
      <c r="E39" s="72" t="s">
        <v>483</v>
      </c>
      <c r="F39" s="158" t="s">
        <v>543</v>
      </c>
      <c r="G39" s="72"/>
      <c r="H39" s="132"/>
      <c r="I39" s="19"/>
      <c r="J39" s="19"/>
      <c r="K39" s="19"/>
      <c r="L39" s="19"/>
      <c r="M39" s="19"/>
      <c r="N39" s="19"/>
      <c r="O39" s="19"/>
      <c r="P39" s="19"/>
      <c r="Q39" s="19"/>
      <c r="R39" s="19"/>
      <c r="S39" s="19"/>
      <c r="T39" s="19"/>
      <c r="U39" s="19"/>
      <c r="V39" s="19"/>
      <c r="W39" s="19"/>
      <c r="X39" s="19"/>
      <c r="Y39" s="19"/>
    </row>
    <row r="40" spans="2:25" ht="18.2" customHeight="1">
      <c r="B40" s="70">
        <v>33</v>
      </c>
      <c r="C40" s="71" t="s">
        <v>544</v>
      </c>
      <c r="D40" s="72" t="s">
        <v>482</v>
      </c>
      <c r="E40" s="72" t="s">
        <v>483</v>
      </c>
      <c r="F40" s="158" t="s">
        <v>545</v>
      </c>
      <c r="G40" s="72"/>
      <c r="H40" s="132"/>
      <c r="I40" s="19"/>
      <c r="J40" s="19"/>
      <c r="K40" s="19"/>
      <c r="L40" s="19"/>
      <c r="M40" s="19"/>
      <c r="N40" s="19"/>
      <c r="O40" s="19"/>
      <c r="P40" s="19"/>
      <c r="Q40" s="19"/>
      <c r="R40" s="19"/>
      <c r="S40" s="19"/>
      <c r="T40" s="19"/>
      <c r="U40" s="19"/>
      <c r="V40" s="19"/>
      <c r="W40" s="19"/>
      <c r="X40" s="19"/>
      <c r="Y40" s="19"/>
    </row>
    <row r="41" spans="2:25" ht="18.2" customHeight="1">
      <c r="B41" s="70">
        <v>34</v>
      </c>
      <c r="C41" s="71" t="s">
        <v>546</v>
      </c>
      <c r="D41" s="72" t="s">
        <v>547</v>
      </c>
      <c r="E41" s="72" t="s">
        <v>483</v>
      </c>
      <c r="F41" s="158" t="s">
        <v>548</v>
      </c>
      <c r="G41" s="72"/>
      <c r="H41" s="132"/>
      <c r="I41" s="19"/>
      <c r="J41" s="19"/>
      <c r="K41" s="19"/>
      <c r="L41" s="19"/>
      <c r="M41" s="19"/>
      <c r="N41" s="19"/>
      <c r="O41" s="19"/>
      <c r="P41" s="19"/>
      <c r="Q41" s="19"/>
      <c r="R41" s="19"/>
      <c r="S41" s="19"/>
      <c r="T41" s="19"/>
      <c r="U41" s="19"/>
      <c r="V41" s="19"/>
      <c r="W41" s="19"/>
      <c r="X41" s="19"/>
      <c r="Y41" s="19"/>
    </row>
    <row r="42" spans="2:25" ht="18.2" customHeight="1">
      <c r="B42" s="70">
        <v>35</v>
      </c>
      <c r="C42" s="71" t="s">
        <v>549</v>
      </c>
      <c r="D42" s="72" t="s">
        <v>547</v>
      </c>
      <c r="E42" s="72" t="s">
        <v>483</v>
      </c>
      <c r="F42" s="158" t="s">
        <v>550</v>
      </c>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2" customHeight="1">
      <c r="B45" s="74" t="s">
        <v>311</v>
      </c>
      <c r="C45" s="75"/>
      <c r="D45" s="76" t="n">
        <f>COUNTA(F8:F42)</f>
        <v>35.0</v>
      </c>
      <c r="F45" s="19"/>
      <c r="G45" s="19"/>
      <c r="H45" s="19"/>
      <c r="I45" s="19"/>
      <c r="J45" s="19"/>
      <c r="K45" s="19"/>
      <c r="L45" s="19"/>
      <c r="M45" s="19"/>
      <c r="N45" s="19"/>
      <c r="O45" s="19"/>
      <c r="P45" s="19"/>
      <c r="Q45" s="19"/>
      <c r="R45" s="19"/>
      <c r="S45" s="19"/>
      <c r="T45" s="19"/>
      <c r="U45" s="19"/>
      <c r="V45" s="19"/>
      <c r="W45" s="19"/>
      <c r="X45" s="19"/>
    </row>
    <row r="46" spans="2:25"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2" customHeight="1">
      <c r="B47" s="74" t="s">
        <v>312</v>
      </c>
      <c r="C47" s="75"/>
      <c r="D47" s="76" t="n">
        <f>D45-D49</f>
        <v>35.0</v>
      </c>
      <c r="E47" s="19"/>
      <c r="F47" s="19"/>
      <c r="G47" s="19"/>
      <c r="H47" s="19"/>
      <c r="I47" s="19"/>
      <c r="J47" s="19"/>
      <c r="K47" s="19"/>
      <c r="L47" s="19"/>
      <c r="M47" s="19"/>
      <c r="N47" s="19"/>
      <c r="O47" s="19"/>
      <c r="P47" s="19"/>
      <c r="Q47" s="19"/>
      <c r="R47" s="19"/>
      <c r="S47" s="19"/>
      <c r="T47" s="19"/>
      <c r="U47" s="19"/>
      <c r="V47" s="19"/>
      <c r="W47" s="19"/>
      <c r="X47" s="19"/>
    </row>
    <row r="48" spans="2:25" ht="16.7"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399999999999999" customHeight="1">
      <c r="B49" s="74" t="s">
        <v>313</v>
      </c>
      <c r="C49" s="77"/>
      <c r="D49" s="76" t="n">
        <f>COUNTIF(E8:E42,"Aleatoria")</f>
        <v>0.0</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21</v>
      </c>
      <c r="C52" s="77"/>
      <c r="D52" s="63" t="str">
        <f>IF(AND(D49&gt;=0.1*D47,D49&gt;0, COUNTIF(E8:E42,"Página inicio"),   COUNTIF(E8:E42,"Declaración accesibilidad"),  COUNTA(C8:C42)=COUNTA(D8:D42),  COUNTA(C8:C42)=COUNTA(E8:E42),   COUNTA(C8:C42)=COUNTA(F8:F42), COUNTA(C8:C42)=COUNTA(G8:G42)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CalcPr fullCalcOnLoad="true"/>
  <sheetProtection password="DC4E" sheet="true" scenarios="true" objects="true"/>
  <mergeCells count="1">
    <mergeCell ref="B5:G5"/>
  </mergeCells>
  <conditionalFormatting sqref="E44">
    <cfRule type="expression" dxfId="1190" priority="2">
      <formula>LEN(TRIM(F44))&gt;0</formula>
    </cfRule>
  </conditionalFormatting>
  <conditionalFormatting sqref="D52">
    <cfRule type="cellIs" dxfId="1189" priority="3" operator="equal">
      <formula>"SI"</formula>
    </cfRule>
    <cfRule type="cellIs" dxfId="1188" priority="4" operator="equal">
      <formula>"NO"</formula>
    </cfRule>
  </conditionalFormatting>
  <dataValidations count="1">
    <dataValidation type="list" operator="equal" allowBlank="1" showErrorMessage="1" errorTitle="Error" error="Debe seleccionar un tipo dentro del desplegable." sqref="D8:D42">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L138"/>
  <sheetViews>
    <sheetView topLeftCell="C47" zoomScale="68" zoomScaleNormal="68" workbookViewId="0">
      <selection activeCell="D19" sqref="D19"/>
    </sheetView>
  </sheetViews>
  <sheetFormatPr baseColWidth="10" defaultColWidth="11.5703125" defaultRowHeight="12.75"/>
  <cols>
    <col min="1" max="1" customWidth="true" style="113" width="6.28515625" collapsed="false"/>
    <col min="2" max="2" customWidth="true" style="14" width="16.140625" collapsed="false"/>
    <col min="3" max="3" customWidth="true" style="14" width="64.140625" collapsed="false"/>
    <col min="4" max="4" customWidth="true" style="113" width="18.28515625" collapsed="false"/>
    <col min="5" max="5" customWidth="true" style="113" width="6.285156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42578125" collapsed="false"/>
    <col min="14" max="14" customWidth="true" style="14" width="12.28515625" collapsed="false"/>
    <col min="15"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95" customHeight="1">
      <c r="B8" s="111" t="s">
        <v>372</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86"/>
      <c r="P11" s="19"/>
      <c r="Q11" s="19"/>
      <c r="R11" s="19"/>
      <c r="U11" s="19"/>
      <c r="V11" s="19"/>
      <c r="W11" s="19"/>
      <c r="X11" s="19"/>
      <c r="Y11" s="19"/>
    </row>
    <row r="12" spans="1:64" ht="12" customHeight="1">
      <c r="B12" s="143" t="s">
        <v>90</v>
      </c>
      <c r="C12" s="57" t="n">
        <f>COUNTIF($B$18:$B$3773,B12)</f>
        <v>3.0</v>
      </c>
      <c r="D12" s="28"/>
      <c r="E12" s="14"/>
      <c r="F12" s="62" t="s">
        <v>26</v>
      </c>
      <c r="G12" s="61" t="n">
        <f ca="1">J20+J58+J96</f>
        <v>0.0</v>
      </c>
      <c r="H12" s="53" t="n">
        <f ca="1">IF(($G$15+$K$15)=0,0,G12/($G$15+$K$15))</f>
        <v>0.0</v>
      </c>
      <c r="I12" s="28"/>
      <c r="J12" s="60" t="s">
        <v>27</v>
      </c>
      <c r="K12" s="61" t="n">
        <f ca="1">G20+G58+G96</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f>
        <v>0.0</v>
      </c>
      <c r="H13" s="53" t="n">
        <f ca="1">IF(($G$15+$K$15)=0,0,G13/($G$15+$K$15))</f>
        <v>0.0</v>
      </c>
      <c r="I13" s="28"/>
      <c r="J13" s="60" t="s">
        <v>29</v>
      </c>
      <c r="K13" s="61" t="n">
        <f ca="1">F20+F58+F96</f>
        <v>99.0</v>
      </c>
      <c r="L13" s="53" t="n">
        <f ca="1">IF(($G$15+$K$15)=0,0,K13/($G$15+$K$15))</f>
        <v>1.0</v>
      </c>
      <c r="M13" s="19"/>
      <c r="N13" s="19"/>
      <c r="O13" s="19"/>
      <c r="P13" s="19"/>
      <c r="Q13" s="19"/>
      <c r="R13" s="19"/>
      <c r="U13" s="19"/>
      <c r="V13" s="19"/>
      <c r="W13" s="19"/>
      <c r="X13" s="19"/>
      <c r="Y13" s="19"/>
    </row>
    <row r="14" spans="1:64" ht="12" customHeight="1" thickBot="1">
      <c r="B14" s="58" t="s">
        <v>30</v>
      </c>
      <c r="C14" s="59" t="n">
        <f>C12+C13</f>
        <v>3.0</v>
      </c>
      <c r="D14" s="28"/>
      <c r="E14" s="14"/>
      <c r="F14" s="62" t="s">
        <v>31</v>
      </c>
      <c r="G14" s="61" t="n">
        <f ca="1">H20+H58+H96</f>
        <v>0.0</v>
      </c>
      <c r="H14" s="53" t="n">
        <f ca="1">IF(($G$15+$K$15)=0,0,G14/($G$15+$K$15))</f>
        <v>0.0</v>
      </c>
      <c r="I14" s="28"/>
      <c r="J14" s="224" t="s">
        <v>474</v>
      </c>
      <c r="K14" s="223" t="n">
        <f ca="1">K20+K58+K96</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99.0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251</v>
      </c>
      <c r="D18" s="26" t="s">
        <v>32</v>
      </c>
      <c r="K18" s="19"/>
      <c r="L18" s="19"/>
    </row>
    <row r="19" spans="1:30" ht="12" customHeight="1">
      <c r="A19" s="219" t="n" cm="1">
        <f t="array" ref="A19">IFERROR(INDEX('03.Muestra'!$B$8:$B$42,SMALL(IF("Página Web"='03.Muestra'!$D$8:$D$42,ROW('03.Muestra'!$B$8:$B$42)-MIN(ROW('03.Muestra'!$D$8:$D$42))+1,""),ROW()-18)),"")</f>
        <v>1.0</v>
      </c>
      <c r="B19" s="220" t="str" cm="1">
        <f t="array" ref="B19">IFERROR(INDEX('03.Muestra'!$C$8:$C$42,SMALL(IF("Página Web"='03.Muestra'!$D$8:$D$42,ROW('03.Muestra'!$C$8:$C$42)-MIN(ROW('03.Muestra'!$D$8:$D$42))+1,""),ROW()-18)),"")</f>
        <v>Home - PortCastelló</v>
      </c>
      <c r="C19" s="220"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19"/>
      <c r="L19" s="19"/>
    </row>
    <row r="20" spans="1:30" ht="12" customHeight="1">
      <c r="A20" s="219" t="n" cm="1">
        <f t="array" ref="A20">IFERROR(INDEX('03.Muestra'!$B$8:$B$42,SMALL(IF("Página Web"='03.Muestra'!$D$8:$D$42,ROW('03.Muestra'!$B$8:$B$42)-MIN(ROW('03.Muestra'!$D$8:$D$42))+1,""),ROW()-18)),"")</f>
        <v>1.0</v>
      </c>
      <c r="B20" s="220" t="str" cm="1">
        <f t="array" ref="B20">IFERROR(INDEX('03.Muestra'!$C$8:$C$42,SMALL(IF("Página Web"='03.Muestra'!$D$8:$D$42,ROW('03.Muestra'!$C$8:$C$42)-MIN(ROW('03.Muestra'!$D$8:$D$42))+1,""),ROW()-18)),"")</f>
        <v>Home - PortCastelló</v>
      </c>
      <c r="C20" s="220"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5"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220" t="str" cm="1">
        <f t="array" ref="B21">IFERROR(INDEX('03.Muestra'!$C$8:$C$42,SMALL(IF("Página Web"='03.Muestra'!$D$8:$D$42,ROW('03.Muestra'!$C$8:$C$42)-MIN(ROW('03.Muestra'!$D$8:$D$42))+1,""),ROW()-18)),"")</f>
        <v>Home - PortCastelló</v>
      </c>
      <c r="C21" s="220"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220" t="str" cm="1">
        <f t="array" ref="B22">IFERROR(INDEX('03.Muestra'!$C$8:$C$42,SMALL(IF("Página Web"='03.Muestra'!$D$8:$D$42,ROW('03.Muestra'!$C$8:$C$42)-MIN(ROW('03.Muestra'!$D$8:$D$42))+1,""),ROW()-18)),"")</f>
        <v>Home - PortCastelló</v>
      </c>
      <c r="C22" s="220"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220" t="str" cm="1">
        <f t="array" ref="B23">IFERROR(INDEX('03.Muestra'!$C$8:$C$42,SMALL(IF("Página Web"='03.Muestra'!$D$8:$D$42,ROW('03.Muestra'!$C$8:$C$42)-MIN(ROW('03.Muestra'!$D$8:$D$42))+1,""),ROW()-18)),"")</f>
        <v>Home - PortCastelló</v>
      </c>
      <c r="C23" s="220"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220" t="str" cm="1">
        <f t="array" ref="B24">IFERROR(INDEX('03.Muestra'!$C$8:$C$42,SMALL(IF("Página Web"='03.Muestra'!$D$8:$D$42,ROW('03.Muestra'!$C$8:$C$42)-MIN(ROW('03.Muestra'!$D$8:$D$42))+1,""),ROW()-18)),"")</f>
        <v>Home - PortCastelló</v>
      </c>
      <c r="C24" s="220"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220" t="str" cm="1">
        <f t="array" ref="B25">IFERROR(INDEX('03.Muestra'!$C$8:$C$42,SMALL(IF("Página Web"='03.Muestra'!$D$8:$D$42,ROW('03.Muestra'!$C$8:$C$42)-MIN(ROW('03.Muestra'!$D$8:$D$42))+1,""),ROW()-18)),"")</f>
        <v>Home - PortCastelló</v>
      </c>
      <c r="C25" s="220"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220" t="str" cm="1">
        <f t="array" ref="B26">IFERROR(INDEX('03.Muestra'!$C$8:$C$42,SMALL(IF("Página Web"='03.Muestra'!$D$8:$D$42,ROW('03.Muestra'!$C$8:$C$42)-MIN(ROW('03.Muestra'!$D$8:$D$42))+1,""),ROW()-18)),"")</f>
        <v>Home - PortCastelló</v>
      </c>
      <c r="C26" s="220"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220" t="str" cm="1">
        <f t="array" ref="B27">IFERROR(INDEX('03.Muestra'!$C$8:$C$42,SMALL(IF("Página Web"='03.Muestra'!$D$8:$D$42,ROW('03.Muestra'!$C$8:$C$42)-MIN(ROW('03.Muestra'!$D$8:$D$42))+1,""),ROW()-18)),"")</f>
        <v>Home - PortCastelló</v>
      </c>
      <c r="C27" s="220"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220" t="str" cm="1">
        <f t="array" ref="B28">IFERROR(INDEX('03.Muestra'!$C$8:$C$42,SMALL(IF("Página Web"='03.Muestra'!$D$8:$D$42,ROW('03.Muestra'!$C$8:$C$42)-MIN(ROW('03.Muestra'!$D$8:$D$42))+1,""),ROW()-18)),"")</f>
        <v>Home - PortCastelló</v>
      </c>
      <c r="C28" s="220"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220" t="str" cm="1">
        <f t="array" ref="B29">IFERROR(INDEX('03.Muestra'!$C$8:$C$42,SMALL(IF("Página Web"='03.Muestra'!$D$8:$D$42,ROW('03.Muestra'!$C$8:$C$42)-MIN(ROW('03.Muestra'!$D$8:$D$42))+1,""),ROW()-18)),"")</f>
        <v>Home - PortCastelló</v>
      </c>
      <c r="C29" s="220"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220" t="str" cm="1">
        <f t="array" ref="B30">IFERROR(INDEX('03.Muestra'!$C$8:$C$42,SMALL(IF("Página Web"='03.Muestra'!$D$8:$D$42,ROW('03.Muestra'!$C$8:$C$42)-MIN(ROW('03.Muestra'!$D$8:$D$42))+1,""),ROW()-18)),"")</f>
        <v>Home - PortCastelló</v>
      </c>
      <c r="C30" s="220"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220" t="str" cm="1">
        <f t="array" ref="B31">IFERROR(INDEX('03.Muestra'!$C$8:$C$42,SMALL(IF("Página Web"='03.Muestra'!$D$8:$D$42,ROW('03.Muestra'!$C$8:$C$42)-MIN(ROW('03.Muestra'!$D$8:$D$42))+1,""),ROW()-18)),"")</f>
        <v>Home - PortCastelló</v>
      </c>
      <c r="C31" s="220"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220" t="str" cm="1">
        <f t="array" ref="B32">IFERROR(INDEX('03.Muestra'!$C$8:$C$42,SMALL(IF("Página Web"='03.Muestra'!$D$8:$D$42,ROW('03.Muestra'!$C$8:$C$42)-MIN(ROW('03.Muestra'!$D$8:$D$42))+1,""),ROW()-18)),"")</f>
        <v>Home - PortCastelló</v>
      </c>
      <c r="C32" s="220"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220" t="str" cm="1">
        <f t="array" ref="B33">IFERROR(INDEX('03.Muestra'!$C$8:$C$42,SMALL(IF("Página Web"='03.Muestra'!$D$8:$D$42,ROW('03.Muestra'!$C$8:$C$42)-MIN(ROW('03.Muestra'!$D$8:$D$42))+1,""),ROW()-18)),"")</f>
        <v>Home - PortCastelló</v>
      </c>
      <c r="C33" s="220"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220" t="str" cm="1">
        <f t="array" ref="B34">IFERROR(INDEX('03.Muestra'!$C$8:$C$42,SMALL(IF("Página Web"='03.Muestra'!$D$8:$D$42,ROW('03.Muestra'!$C$8:$C$42)-MIN(ROW('03.Muestra'!$D$8:$D$42))+1,""),ROW()-18)),"")</f>
        <v>Home - PortCastelló</v>
      </c>
      <c r="C34" s="220"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220" t="str" cm="1">
        <f t="array" ref="B35">IFERROR(INDEX('03.Muestra'!$C$8:$C$42,SMALL(IF("Página Web"='03.Muestra'!$D$8:$D$42,ROW('03.Muestra'!$C$8:$C$42)-MIN(ROW('03.Muestra'!$D$8:$D$42))+1,""),ROW()-18)),"")</f>
        <v>Home - PortCastelló</v>
      </c>
      <c r="C35" s="220"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220" t="str" cm="1">
        <f t="array" ref="B36">IFERROR(INDEX('03.Muestra'!$C$8:$C$42,SMALL(IF("Página Web"='03.Muestra'!$D$8:$D$42,ROW('03.Muestra'!$C$8:$C$42)-MIN(ROW('03.Muestra'!$D$8:$D$42))+1,""),ROW()-18)),"")</f>
        <v>Home - PortCastelló</v>
      </c>
      <c r="C36" s="220"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220" t="str" cm="1">
        <f t="array" ref="B37">IFERROR(INDEX('03.Muestra'!$C$8:$C$42,SMALL(IF("Página Web"='03.Muestra'!$D$8:$D$42,ROW('03.Muestra'!$C$8:$C$42)-MIN(ROW('03.Muestra'!$D$8:$D$42))+1,""),ROW()-18)),"")</f>
        <v>Home - PortCastelló</v>
      </c>
      <c r="C37" s="220"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220" t="str" cm="1">
        <f t="array" ref="B38">IFERROR(INDEX('03.Muestra'!$C$8:$C$42,SMALL(IF("Página Web"='03.Muestra'!$D$8:$D$42,ROW('03.Muestra'!$C$8:$C$42)-MIN(ROW('03.Muestra'!$D$8:$D$42))+1,""),ROW()-18)),"")</f>
        <v>Home - PortCastelló</v>
      </c>
      <c r="C38" s="220"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220" t="str" cm="1">
        <f t="array" ref="B39">IFERROR(INDEX('03.Muestra'!$C$8:$C$42,SMALL(IF("Página Web"='03.Muestra'!$D$8:$D$42,ROW('03.Muestra'!$C$8:$C$42)-MIN(ROW('03.Muestra'!$D$8:$D$42))+1,""),ROW()-18)),"")</f>
        <v>Home - PortCastelló</v>
      </c>
      <c r="C39" s="220"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220" t="str" cm="1">
        <f t="array" ref="B40">IFERROR(INDEX('03.Muestra'!$C$8:$C$42,SMALL(IF("Página Web"='03.Muestra'!$D$8:$D$42,ROW('03.Muestra'!$C$8:$C$42)-MIN(ROW('03.Muestra'!$D$8:$D$42))+1,""),ROW()-18)),"")</f>
        <v>Home - PortCastelló</v>
      </c>
      <c r="C40" s="220"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220" t="str" cm="1">
        <f t="array" ref="B41">IFERROR(INDEX('03.Muestra'!$C$8:$C$42,SMALL(IF("Página Web"='03.Muestra'!$D$8:$D$42,ROW('03.Muestra'!$C$8:$C$42)-MIN(ROW('03.Muestra'!$D$8:$D$42))+1,""),ROW()-18)),"")</f>
        <v>Home - PortCastelló</v>
      </c>
      <c r="C41" s="220"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220" t="str" cm="1">
        <f t="array" ref="B42">IFERROR(INDEX('03.Muestra'!$C$8:$C$42,SMALL(IF("Página Web"='03.Muestra'!$D$8:$D$42,ROW('03.Muestra'!$C$8:$C$42)-MIN(ROW('03.Muestra'!$D$8:$D$42))+1,""),ROW()-18)),"")</f>
        <v>Home - PortCastelló</v>
      </c>
      <c r="C42" s="220"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220" t="str" cm="1">
        <f t="array" ref="B43">IFERROR(INDEX('03.Muestra'!$C$8:$C$42,SMALL(IF("Página Web"='03.Muestra'!$D$8:$D$42,ROW('03.Muestra'!$C$8:$C$42)-MIN(ROW('03.Muestra'!$D$8:$D$42))+1,""),ROW()-18)),"")</f>
        <v>Home - PortCastelló</v>
      </c>
      <c r="C43" s="220"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220" t="str" cm="1">
        <f t="array" ref="B44">IFERROR(INDEX('03.Muestra'!$C$8:$C$42,SMALL(IF("Página Web"='03.Muestra'!$D$8:$D$42,ROW('03.Muestra'!$C$8:$C$42)-MIN(ROW('03.Muestra'!$D$8:$D$42))+1,""),ROW()-18)),"")</f>
        <v>Home - PortCastelló</v>
      </c>
      <c r="C44" s="220"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220" t="str" cm="1">
        <f t="array" ref="B45">IFERROR(INDEX('03.Muestra'!$C$8:$C$42,SMALL(IF("Página Web"='03.Muestra'!$D$8:$D$42,ROW('03.Muestra'!$C$8:$C$42)-MIN(ROW('03.Muestra'!$D$8:$D$42))+1,""),ROW()-18)),"")</f>
        <v>Home - PortCastelló</v>
      </c>
      <c r="C45" s="220"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220" t="str" cm="1">
        <f t="array" ref="B46">IFERROR(INDEX('03.Muestra'!$C$8:$C$42,SMALL(IF("Página Web"='03.Muestra'!$D$8:$D$42,ROW('03.Muestra'!$C$8:$C$42)-MIN(ROW('03.Muestra'!$D$8:$D$42))+1,""),ROW()-18)),"")</f>
        <v>Home - PortCastelló</v>
      </c>
      <c r="C46" s="220"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220" t="str" cm="1">
        <f t="array" ref="B47">IFERROR(INDEX('03.Muestra'!$C$8:$C$42,SMALL(IF("Página Web"='03.Muestra'!$D$8:$D$42,ROW('03.Muestra'!$C$8:$C$42)-MIN(ROW('03.Muestra'!$D$8:$D$42))+1,""),ROW()-18)),"")</f>
        <v>Home - PortCastelló</v>
      </c>
      <c r="C47" s="220"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220" t="str" cm="1">
        <f t="array" ref="B48">IFERROR(INDEX('03.Muestra'!$C$8:$C$42,SMALL(IF("Página Web"='03.Muestra'!$D$8:$D$42,ROW('03.Muestra'!$C$8:$C$42)-MIN(ROW('03.Muestra'!$D$8:$D$42))+1,""),ROW()-18)),"")</f>
        <v>Home - PortCastelló</v>
      </c>
      <c r="C48" s="220"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220" t="str" cm="1">
        <f t="array" ref="B49">IFERROR(INDEX('03.Muestra'!$C$8:$C$42,SMALL(IF("Página Web"='03.Muestra'!$D$8:$D$42,ROW('03.Muestra'!$C$8:$C$42)-MIN(ROW('03.Muestra'!$D$8:$D$42))+1,""),ROW()-18)),"")</f>
        <v>Home - PortCastelló</v>
      </c>
      <c r="C49" s="220"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220" t="str" cm="1">
        <f t="array" ref="B50">IFERROR(INDEX('03.Muestra'!$C$8:$C$42,SMALL(IF("Página Web"='03.Muestra'!$D$8:$D$42,ROW('03.Muestra'!$C$8:$C$42)-MIN(ROW('03.Muestra'!$D$8:$D$42))+1,""),ROW()-18)),"")</f>
        <v>Home - PortCastelló</v>
      </c>
      <c r="C50" s="220"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220" t="str" cm="1">
        <f t="array" ref="B51">IFERROR(INDEX('03.Muestra'!$C$8:$C$42,SMALL(IF("Página Web"='03.Muestra'!$D$8:$D$42,ROW('03.Muestra'!$C$8:$C$42)-MIN(ROW('03.Muestra'!$D$8:$D$42))+1,""),ROW()-18)),"")</f>
        <v>Home - PortCastelló</v>
      </c>
      <c r="C51" s="220"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220" t="str" cm="1">
        <f t="array" ref="B52">IFERROR(INDEX('03.Muestra'!$C$8:$C$42,SMALL(IF("Página Web"='03.Muestra'!$D$8:$D$42,ROW('03.Muestra'!$C$8:$C$42)-MIN(ROW('03.Muestra'!$D$8:$D$42))+1,""),ROW()-18)),"")</f>
        <v/>
      </c>
      <c r="C52" s="220"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252</v>
      </c>
      <c r="D56" s="26" t="s">
        <v>32</v>
      </c>
      <c r="E56" s="123"/>
      <c r="K56" s="19"/>
      <c r="L56" s="19"/>
      <c r="M56" s="19"/>
      <c r="N56" s="19"/>
      <c r="O56" s="19"/>
      <c r="P56" s="19"/>
      <c r="Q56" s="19"/>
      <c r="R56" s="19"/>
      <c r="T56" s="19"/>
      <c r="U56" s="19"/>
      <c r="V56" s="19"/>
      <c r="W56" s="19"/>
      <c r="X56" s="19"/>
      <c r="Y56" s="19"/>
    </row>
    <row r="57" spans="1:25" ht="12" customHeight="1">
      <c r="A57" s="222" t="n" cm="1">
        <f t="array" ref="A57">IFERROR(INDEX('03.Muestra'!$B$8:$B$42,SMALL(IF("Página Web"='03.Muestra'!$D$8:$D$42,ROW('03.Muestra'!$B$8:$B$42)-MIN(ROW('03.Muestra'!$D$8:$D$42))+1,""),ROW()-56)),"")</f>
        <v>1.0</v>
      </c>
      <c r="B57" s="221" t="str" cm="1">
        <f t="array" ref="B57">IFERROR(INDEX('03.Muestra'!$C$8:$C$42,SMALL(IF("Página Web"='03.Muestra'!$D$8:$D$42,ROW('03.Muestra'!$C$8:$C$42)-MIN(ROW('03.Muestra'!$D$8:$D$42))+1,""),ROW()-56)),"")</f>
        <v>Home - PortCastelló</v>
      </c>
      <c r="C57" s="221"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19"/>
      <c r="L57" s="19"/>
      <c r="M57" s="19"/>
      <c r="N57" s="19"/>
      <c r="O57" s="19"/>
      <c r="P57" s="19"/>
      <c r="Q57" s="19"/>
      <c r="R57" s="19"/>
      <c r="S57" s="19"/>
      <c r="T57" s="19"/>
      <c r="U57" s="19"/>
      <c r="V57" s="19"/>
      <c r="W57" s="19"/>
      <c r="X57" s="19"/>
      <c r="Y57" s="19"/>
    </row>
    <row r="58" spans="1:25" ht="12" customHeight="1">
      <c r="A58" s="222" t="n" cm="1">
        <f t="array" ref="A58">IFERROR(INDEX('03.Muestra'!$B$8:$B$42,SMALL(IF("Página Web"='03.Muestra'!$D$8:$D$42,ROW('03.Muestra'!$B$8:$B$42)-MIN(ROW('03.Muestra'!$D$8:$D$42))+1,""),ROW()-56)),"")</f>
        <v>1.0</v>
      </c>
      <c r="B58" s="221" t="str" cm="1">
        <f t="array" ref="B58">IFERROR(INDEX('03.Muestra'!$C$8:$C$42,SMALL(IF("Página Web"='03.Muestra'!$D$8:$D$42,ROW('03.Muestra'!$C$8:$C$42)-MIN(ROW('03.Muestra'!$D$8:$D$42))+1,""),ROW()-56)),"")</f>
        <v>Home - PortCastelló</v>
      </c>
      <c r="C58" s="221"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5"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22" t="n" cm="1">
        <f t="array" ref="A59">IFERROR(INDEX('03.Muestra'!$B$8:$B$42,SMALL(IF("Página Web"='03.Muestra'!$D$8:$D$42,ROW('03.Muestra'!$B$8:$B$42)-MIN(ROW('03.Muestra'!$D$8:$D$42))+1,""),ROW()-56)),"")</f>
        <v>1.0</v>
      </c>
      <c r="B59" s="221" t="str" cm="1">
        <f t="array" ref="B59">IFERROR(INDEX('03.Muestra'!$C$8:$C$42,SMALL(IF("Página Web"='03.Muestra'!$D$8:$D$42,ROW('03.Muestra'!$C$8:$C$42)-MIN(ROW('03.Muestra'!$D$8:$D$42))+1,""),ROW()-56)),"")</f>
        <v>Home - PortCastelló</v>
      </c>
      <c r="C59" s="221"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t="n" cm="1">
        <f t="array" ref="A60">IFERROR(INDEX('03.Muestra'!$B$8:$B$42,SMALL(IF("Página Web"='03.Muestra'!$D$8:$D$42,ROW('03.Muestra'!$B$8:$B$42)-MIN(ROW('03.Muestra'!$D$8:$D$42))+1,""),ROW()-56)),"")</f>
        <v>1.0</v>
      </c>
      <c r="B60" s="221" t="str" cm="1">
        <f t="array" ref="B60">IFERROR(INDEX('03.Muestra'!$C$8:$C$42,SMALL(IF("Página Web"='03.Muestra'!$D$8:$D$42,ROW('03.Muestra'!$C$8:$C$42)-MIN(ROW('03.Muestra'!$D$8:$D$42))+1,""),ROW()-56)),"")</f>
        <v>Home - PortCastelló</v>
      </c>
      <c r="C60" s="221"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t="n" cm="1">
        <f t="array" ref="A61">IFERROR(INDEX('03.Muestra'!$B$8:$B$42,SMALL(IF("Página Web"='03.Muestra'!$D$8:$D$42,ROW('03.Muestra'!$B$8:$B$42)-MIN(ROW('03.Muestra'!$D$8:$D$42))+1,""),ROW()-56)),"")</f>
        <v>1.0</v>
      </c>
      <c r="B61" s="221" t="str" cm="1">
        <f t="array" ref="B61">IFERROR(INDEX('03.Muestra'!$C$8:$C$42,SMALL(IF("Página Web"='03.Muestra'!$D$8:$D$42,ROW('03.Muestra'!$C$8:$C$42)-MIN(ROW('03.Muestra'!$D$8:$D$42))+1,""),ROW()-56)),"")</f>
        <v>Home - PortCastelló</v>
      </c>
      <c r="C61" s="221"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t="n" cm="1">
        <f t="array" ref="A62">IFERROR(INDEX('03.Muestra'!$B$8:$B$42,SMALL(IF("Página Web"='03.Muestra'!$D$8:$D$42,ROW('03.Muestra'!$B$8:$B$42)-MIN(ROW('03.Muestra'!$D$8:$D$42))+1,""),ROW()-56)),"")</f>
        <v>1.0</v>
      </c>
      <c r="B62" s="221" t="str" cm="1">
        <f t="array" ref="B62">IFERROR(INDEX('03.Muestra'!$C$8:$C$42,SMALL(IF("Página Web"='03.Muestra'!$D$8:$D$42,ROW('03.Muestra'!$C$8:$C$42)-MIN(ROW('03.Muestra'!$D$8:$D$42))+1,""),ROW()-56)),"")</f>
        <v>Home - PortCastelló</v>
      </c>
      <c r="C62" s="221"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t="n" cm="1">
        <f t="array" ref="A63">IFERROR(INDEX('03.Muestra'!$B$8:$B$42,SMALL(IF("Página Web"='03.Muestra'!$D$8:$D$42,ROW('03.Muestra'!$B$8:$B$42)-MIN(ROW('03.Muestra'!$D$8:$D$42))+1,""),ROW()-56)),"")</f>
        <v>1.0</v>
      </c>
      <c r="B63" s="221" t="str" cm="1">
        <f t="array" ref="B63">IFERROR(INDEX('03.Muestra'!$C$8:$C$42,SMALL(IF("Página Web"='03.Muestra'!$D$8:$D$42,ROW('03.Muestra'!$C$8:$C$42)-MIN(ROW('03.Muestra'!$D$8:$D$42))+1,""),ROW()-56)),"")</f>
        <v>Home - PortCastelló</v>
      </c>
      <c r="C63" s="221"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t="n" cm="1">
        <f t="array" ref="A64">IFERROR(INDEX('03.Muestra'!$B$8:$B$42,SMALL(IF("Página Web"='03.Muestra'!$D$8:$D$42,ROW('03.Muestra'!$B$8:$B$42)-MIN(ROW('03.Muestra'!$D$8:$D$42))+1,""),ROW()-56)),"")</f>
        <v>1.0</v>
      </c>
      <c r="B64" s="221" t="str" cm="1">
        <f t="array" ref="B64">IFERROR(INDEX('03.Muestra'!$C$8:$C$42,SMALL(IF("Página Web"='03.Muestra'!$D$8:$D$42,ROW('03.Muestra'!$C$8:$C$42)-MIN(ROW('03.Muestra'!$D$8:$D$42))+1,""),ROW()-56)),"")</f>
        <v>Home - PortCastelló</v>
      </c>
      <c r="C64" s="221"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n" cm="1">
        <f t="array" ref="A65">IFERROR(INDEX('03.Muestra'!$B$8:$B$42,SMALL(IF("Página Web"='03.Muestra'!$D$8:$D$42,ROW('03.Muestra'!$B$8:$B$42)-MIN(ROW('03.Muestra'!$D$8:$D$42))+1,""),ROW()-56)),"")</f>
        <v>1.0</v>
      </c>
      <c r="B65" s="221" t="str" cm="1">
        <f t="array" ref="B65">IFERROR(INDEX('03.Muestra'!$C$8:$C$42,SMALL(IF("Página Web"='03.Muestra'!$D$8:$D$42,ROW('03.Muestra'!$C$8:$C$42)-MIN(ROW('03.Muestra'!$D$8:$D$42))+1,""),ROW()-56)),"")</f>
        <v>Home - PortCastelló</v>
      </c>
      <c r="C65" s="221"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n" cm="1">
        <f t="array" ref="A66">IFERROR(INDEX('03.Muestra'!$B$8:$B$42,SMALL(IF("Página Web"='03.Muestra'!$D$8:$D$42,ROW('03.Muestra'!$B$8:$B$42)-MIN(ROW('03.Muestra'!$D$8:$D$42))+1,""),ROW()-56)),"")</f>
        <v>1.0</v>
      </c>
      <c r="B66" s="221" t="str" cm="1">
        <f t="array" ref="B66">IFERROR(INDEX('03.Muestra'!$C$8:$C$42,SMALL(IF("Página Web"='03.Muestra'!$D$8:$D$42,ROW('03.Muestra'!$C$8:$C$42)-MIN(ROW('03.Muestra'!$D$8:$D$42))+1,""),ROW()-56)),"")</f>
        <v>Home - PortCastelló</v>
      </c>
      <c r="C66" s="221"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n" cm="1">
        <f t="array" ref="A67">IFERROR(INDEX('03.Muestra'!$B$8:$B$42,SMALL(IF("Página Web"='03.Muestra'!$D$8:$D$42,ROW('03.Muestra'!$B$8:$B$42)-MIN(ROW('03.Muestra'!$D$8:$D$42))+1,""),ROW()-56)),"")</f>
        <v>1.0</v>
      </c>
      <c r="B67" s="221" t="str" cm="1">
        <f t="array" ref="B67">IFERROR(INDEX('03.Muestra'!$C$8:$C$42,SMALL(IF("Página Web"='03.Muestra'!$D$8:$D$42,ROW('03.Muestra'!$C$8:$C$42)-MIN(ROW('03.Muestra'!$D$8:$D$42))+1,""),ROW()-56)),"")</f>
        <v>Home - PortCastelló</v>
      </c>
      <c r="C67" s="221"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n" cm="1">
        <f t="array" ref="A68">IFERROR(INDEX('03.Muestra'!$B$8:$B$42,SMALL(IF("Página Web"='03.Muestra'!$D$8:$D$42,ROW('03.Muestra'!$B$8:$B$42)-MIN(ROW('03.Muestra'!$D$8:$D$42))+1,""),ROW()-56)),"")</f>
        <v>1.0</v>
      </c>
      <c r="B68" s="221" t="str" cm="1">
        <f t="array" ref="B68">IFERROR(INDEX('03.Muestra'!$C$8:$C$42,SMALL(IF("Página Web"='03.Muestra'!$D$8:$D$42,ROW('03.Muestra'!$C$8:$C$42)-MIN(ROW('03.Muestra'!$D$8:$D$42))+1,""),ROW()-56)),"")</f>
        <v>Home - PortCastelló</v>
      </c>
      <c r="C68" s="221"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n" cm="1">
        <f t="array" ref="A69">IFERROR(INDEX('03.Muestra'!$B$8:$B$42,SMALL(IF("Página Web"='03.Muestra'!$D$8:$D$42,ROW('03.Muestra'!$B$8:$B$42)-MIN(ROW('03.Muestra'!$D$8:$D$42))+1,""),ROW()-56)),"")</f>
        <v>1.0</v>
      </c>
      <c r="B69" s="221" t="str" cm="1">
        <f t="array" ref="B69">IFERROR(INDEX('03.Muestra'!$C$8:$C$42,SMALL(IF("Página Web"='03.Muestra'!$D$8:$D$42,ROW('03.Muestra'!$C$8:$C$42)-MIN(ROW('03.Muestra'!$D$8:$D$42))+1,""),ROW()-56)),"")</f>
        <v>Home - PortCastelló</v>
      </c>
      <c r="C69" s="221"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n" cm="1">
        <f t="array" ref="A70">IFERROR(INDEX('03.Muestra'!$B$8:$B$42,SMALL(IF("Página Web"='03.Muestra'!$D$8:$D$42,ROW('03.Muestra'!$B$8:$B$42)-MIN(ROW('03.Muestra'!$D$8:$D$42))+1,""),ROW()-56)),"")</f>
        <v>1.0</v>
      </c>
      <c r="B70" s="221" t="str" cm="1">
        <f t="array" ref="B70">IFERROR(INDEX('03.Muestra'!$C$8:$C$42,SMALL(IF("Página Web"='03.Muestra'!$D$8:$D$42,ROW('03.Muestra'!$C$8:$C$42)-MIN(ROW('03.Muestra'!$D$8:$D$42))+1,""),ROW()-56)),"")</f>
        <v>Home - PortCastelló</v>
      </c>
      <c r="C70" s="221"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n" cm="1">
        <f t="array" ref="A71">IFERROR(INDEX('03.Muestra'!$B$8:$B$42,SMALL(IF("Página Web"='03.Muestra'!$D$8:$D$42,ROW('03.Muestra'!$B$8:$B$42)-MIN(ROW('03.Muestra'!$D$8:$D$42))+1,""),ROW()-56)),"")</f>
        <v>1.0</v>
      </c>
      <c r="B71" s="221" t="str" cm="1">
        <f t="array" ref="B71">IFERROR(INDEX('03.Muestra'!$C$8:$C$42,SMALL(IF("Página Web"='03.Muestra'!$D$8:$D$42,ROW('03.Muestra'!$C$8:$C$42)-MIN(ROW('03.Muestra'!$D$8:$D$42))+1,""),ROW()-56)),"")</f>
        <v>Home - PortCastelló</v>
      </c>
      <c r="C71" s="221"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n" cm="1">
        <f t="array" ref="A72">IFERROR(INDEX('03.Muestra'!$B$8:$B$42,SMALL(IF("Página Web"='03.Muestra'!$D$8:$D$42,ROW('03.Muestra'!$B$8:$B$42)-MIN(ROW('03.Muestra'!$D$8:$D$42))+1,""),ROW()-56)),"")</f>
        <v>1.0</v>
      </c>
      <c r="B72" s="221" t="str" cm="1">
        <f t="array" ref="B72">IFERROR(INDEX('03.Muestra'!$C$8:$C$42,SMALL(IF("Página Web"='03.Muestra'!$D$8:$D$42,ROW('03.Muestra'!$C$8:$C$42)-MIN(ROW('03.Muestra'!$D$8:$D$42))+1,""),ROW()-56)),"")</f>
        <v>Home - PortCastelló</v>
      </c>
      <c r="C72" s="221"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n" cm="1">
        <f t="array" ref="A73">IFERROR(INDEX('03.Muestra'!$B$8:$B$42,SMALL(IF("Página Web"='03.Muestra'!$D$8:$D$42,ROW('03.Muestra'!$B$8:$B$42)-MIN(ROW('03.Muestra'!$D$8:$D$42))+1,""),ROW()-56)),"")</f>
        <v>1.0</v>
      </c>
      <c r="B73" s="221" t="str" cm="1">
        <f t="array" ref="B73">IFERROR(INDEX('03.Muestra'!$C$8:$C$42,SMALL(IF("Página Web"='03.Muestra'!$D$8:$D$42,ROW('03.Muestra'!$C$8:$C$42)-MIN(ROW('03.Muestra'!$D$8:$D$42))+1,""),ROW()-56)),"")</f>
        <v>Home - PortCastelló</v>
      </c>
      <c r="C73" s="221"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n" cm="1">
        <f t="array" ref="A74">IFERROR(INDEX('03.Muestra'!$B$8:$B$42,SMALL(IF("Página Web"='03.Muestra'!$D$8:$D$42,ROW('03.Muestra'!$B$8:$B$42)-MIN(ROW('03.Muestra'!$D$8:$D$42))+1,""),ROW()-56)),"")</f>
        <v>1.0</v>
      </c>
      <c r="B74" s="221" t="str" cm="1">
        <f t="array" ref="B74">IFERROR(INDEX('03.Muestra'!$C$8:$C$42,SMALL(IF("Página Web"='03.Muestra'!$D$8:$D$42,ROW('03.Muestra'!$C$8:$C$42)-MIN(ROW('03.Muestra'!$D$8:$D$42))+1,""),ROW()-56)),"")</f>
        <v>Home - PortCastelló</v>
      </c>
      <c r="C74" s="221"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n" cm="1">
        <f t="array" ref="A75">IFERROR(INDEX('03.Muestra'!$B$8:$B$42,SMALL(IF("Página Web"='03.Muestra'!$D$8:$D$42,ROW('03.Muestra'!$B$8:$B$42)-MIN(ROW('03.Muestra'!$D$8:$D$42))+1,""),ROW()-56)),"")</f>
        <v>1.0</v>
      </c>
      <c r="B75" s="221" t="str" cm="1">
        <f t="array" ref="B75">IFERROR(INDEX('03.Muestra'!$C$8:$C$42,SMALL(IF("Página Web"='03.Muestra'!$D$8:$D$42,ROW('03.Muestra'!$C$8:$C$42)-MIN(ROW('03.Muestra'!$D$8:$D$42))+1,""),ROW()-56)),"")</f>
        <v>Home - PortCastelló</v>
      </c>
      <c r="C75" s="221"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n" cm="1">
        <f t="array" ref="A76">IFERROR(INDEX('03.Muestra'!$B$8:$B$42,SMALL(IF("Página Web"='03.Muestra'!$D$8:$D$42,ROW('03.Muestra'!$B$8:$B$42)-MIN(ROW('03.Muestra'!$D$8:$D$42))+1,""),ROW()-56)),"")</f>
        <v>1.0</v>
      </c>
      <c r="B76" s="221" t="str" cm="1">
        <f t="array" ref="B76">IFERROR(INDEX('03.Muestra'!$C$8:$C$42,SMALL(IF("Página Web"='03.Muestra'!$D$8:$D$42,ROW('03.Muestra'!$C$8:$C$42)-MIN(ROW('03.Muestra'!$D$8:$D$42))+1,""),ROW()-56)),"")</f>
        <v>Home - PortCastelló</v>
      </c>
      <c r="C76" s="221"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n" cm="1">
        <f t="array" ref="A77">IFERROR(INDEX('03.Muestra'!$B$8:$B$42,SMALL(IF("Página Web"='03.Muestra'!$D$8:$D$42,ROW('03.Muestra'!$B$8:$B$42)-MIN(ROW('03.Muestra'!$D$8:$D$42))+1,""),ROW()-56)),"")</f>
        <v>1.0</v>
      </c>
      <c r="B77" s="221" t="str" cm="1">
        <f t="array" ref="B77">IFERROR(INDEX('03.Muestra'!$C$8:$C$42,SMALL(IF("Página Web"='03.Muestra'!$D$8:$D$42,ROW('03.Muestra'!$C$8:$C$42)-MIN(ROW('03.Muestra'!$D$8:$D$42))+1,""),ROW()-56)),"")</f>
        <v>Home - PortCastelló</v>
      </c>
      <c r="C77" s="221"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n" cm="1">
        <f t="array" ref="A78">IFERROR(INDEX('03.Muestra'!$B$8:$B$42,SMALL(IF("Página Web"='03.Muestra'!$D$8:$D$42,ROW('03.Muestra'!$B$8:$B$42)-MIN(ROW('03.Muestra'!$D$8:$D$42))+1,""),ROW()-56)),"")</f>
        <v>1.0</v>
      </c>
      <c r="B78" s="221" t="str" cm="1">
        <f t="array" ref="B78">IFERROR(INDEX('03.Muestra'!$C$8:$C$42,SMALL(IF("Página Web"='03.Muestra'!$D$8:$D$42,ROW('03.Muestra'!$C$8:$C$42)-MIN(ROW('03.Muestra'!$D$8:$D$42))+1,""),ROW()-56)),"")</f>
        <v>Home - PortCastelló</v>
      </c>
      <c r="C78" s="221"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n" cm="1">
        <f t="array" ref="A79">IFERROR(INDEX('03.Muestra'!$B$8:$B$42,SMALL(IF("Página Web"='03.Muestra'!$D$8:$D$42,ROW('03.Muestra'!$B$8:$B$42)-MIN(ROW('03.Muestra'!$D$8:$D$42))+1,""),ROW()-56)),"")</f>
        <v>1.0</v>
      </c>
      <c r="B79" s="221" t="str" cm="1">
        <f t="array" ref="B79">IFERROR(INDEX('03.Muestra'!$C$8:$C$42,SMALL(IF("Página Web"='03.Muestra'!$D$8:$D$42,ROW('03.Muestra'!$C$8:$C$42)-MIN(ROW('03.Muestra'!$D$8:$D$42))+1,""),ROW()-56)),"")</f>
        <v>Home - PortCastelló</v>
      </c>
      <c r="C79" s="221"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n" cm="1">
        <f t="array" ref="A80">IFERROR(INDEX('03.Muestra'!$B$8:$B$42,SMALL(IF("Página Web"='03.Muestra'!$D$8:$D$42,ROW('03.Muestra'!$B$8:$B$42)-MIN(ROW('03.Muestra'!$D$8:$D$42))+1,""),ROW()-56)),"")</f>
        <v>1.0</v>
      </c>
      <c r="B80" s="221" t="str" cm="1">
        <f t="array" ref="B80">IFERROR(INDEX('03.Muestra'!$C$8:$C$42,SMALL(IF("Página Web"='03.Muestra'!$D$8:$D$42,ROW('03.Muestra'!$C$8:$C$42)-MIN(ROW('03.Muestra'!$D$8:$D$42))+1,""),ROW()-56)),"")</f>
        <v>Home - PortCastelló</v>
      </c>
      <c r="C80" s="221"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n" cm="1">
        <f t="array" ref="A81">IFERROR(INDEX('03.Muestra'!$B$8:$B$42,SMALL(IF("Página Web"='03.Muestra'!$D$8:$D$42,ROW('03.Muestra'!$B$8:$B$42)-MIN(ROW('03.Muestra'!$D$8:$D$42))+1,""),ROW()-56)),"")</f>
        <v>1.0</v>
      </c>
      <c r="B81" s="221" t="str" cm="1">
        <f t="array" ref="B81">IFERROR(INDEX('03.Muestra'!$C$8:$C$42,SMALL(IF("Página Web"='03.Muestra'!$D$8:$D$42,ROW('03.Muestra'!$C$8:$C$42)-MIN(ROW('03.Muestra'!$D$8:$D$42))+1,""),ROW()-56)),"")</f>
        <v>Home - PortCastelló</v>
      </c>
      <c r="C81" s="221"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n" cm="1">
        <f t="array" ref="A82">IFERROR(INDEX('03.Muestra'!$B$8:$B$42,SMALL(IF("Página Web"='03.Muestra'!$D$8:$D$42,ROW('03.Muestra'!$B$8:$B$42)-MIN(ROW('03.Muestra'!$D$8:$D$42))+1,""),ROW()-56)),"")</f>
        <v>1.0</v>
      </c>
      <c r="B82" s="221" t="str" cm="1">
        <f t="array" ref="B82">IFERROR(INDEX('03.Muestra'!$C$8:$C$42,SMALL(IF("Página Web"='03.Muestra'!$D$8:$D$42,ROW('03.Muestra'!$C$8:$C$42)-MIN(ROW('03.Muestra'!$D$8:$D$42))+1,""),ROW()-56)),"")</f>
        <v>Home - PortCastelló</v>
      </c>
      <c r="C82" s="221"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n" cm="1">
        <f t="array" ref="A83">IFERROR(INDEX('03.Muestra'!$B$8:$B$42,SMALL(IF("Página Web"='03.Muestra'!$D$8:$D$42,ROW('03.Muestra'!$B$8:$B$42)-MIN(ROW('03.Muestra'!$D$8:$D$42))+1,""),ROW()-56)),"")</f>
        <v>1.0</v>
      </c>
      <c r="B83" s="221" t="str" cm="1">
        <f t="array" ref="B83">IFERROR(INDEX('03.Muestra'!$C$8:$C$42,SMALL(IF("Página Web"='03.Muestra'!$D$8:$D$42,ROW('03.Muestra'!$C$8:$C$42)-MIN(ROW('03.Muestra'!$D$8:$D$42))+1,""),ROW()-56)),"")</f>
        <v>Home - PortCastelló</v>
      </c>
      <c r="C83" s="221"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n" cm="1">
        <f t="array" ref="A84">IFERROR(INDEX('03.Muestra'!$B$8:$B$42,SMALL(IF("Página Web"='03.Muestra'!$D$8:$D$42,ROW('03.Muestra'!$B$8:$B$42)-MIN(ROW('03.Muestra'!$D$8:$D$42))+1,""),ROW()-56)),"")</f>
        <v>1.0</v>
      </c>
      <c r="B84" s="221" t="str" cm="1">
        <f t="array" ref="B84">IFERROR(INDEX('03.Muestra'!$C$8:$C$42,SMALL(IF("Página Web"='03.Muestra'!$D$8:$D$42,ROW('03.Muestra'!$C$8:$C$42)-MIN(ROW('03.Muestra'!$D$8:$D$42))+1,""),ROW()-56)),"")</f>
        <v>Home - PortCastelló</v>
      </c>
      <c r="C84" s="221"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n" cm="1">
        <f t="array" ref="A85">IFERROR(INDEX('03.Muestra'!$B$8:$B$42,SMALL(IF("Página Web"='03.Muestra'!$D$8:$D$42,ROW('03.Muestra'!$B$8:$B$42)-MIN(ROW('03.Muestra'!$D$8:$D$42))+1,""),ROW()-56)),"")</f>
        <v>1.0</v>
      </c>
      <c r="B85" s="221" t="str" cm="1">
        <f t="array" ref="B85">IFERROR(INDEX('03.Muestra'!$C$8:$C$42,SMALL(IF("Página Web"='03.Muestra'!$D$8:$D$42,ROW('03.Muestra'!$C$8:$C$42)-MIN(ROW('03.Muestra'!$D$8:$D$42))+1,""),ROW()-56)),"")</f>
        <v>Home - PortCastelló</v>
      </c>
      <c r="C85" s="221"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n" cm="1">
        <f t="array" ref="A86">IFERROR(INDEX('03.Muestra'!$B$8:$B$42,SMALL(IF("Página Web"='03.Muestra'!$D$8:$D$42,ROW('03.Muestra'!$B$8:$B$42)-MIN(ROW('03.Muestra'!$D$8:$D$42))+1,""),ROW()-56)),"")</f>
        <v>1.0</v>
      </c>
      <c r="B86" s="221" t="str" cm="1">
        <f t="array" ref="B86">IFERROR(INDEX('03.Muestra'!$C$8:$C$42,SMALL(IF("Página Web"='03.Muestra'!$D$8:$D$42,ROW('03.Muestra'!$C$8:$C$42)-MIN(ROW('03.Muestra'!$D$8:$D$42))+1,""),ROW()-56)),"")</f>
        <v>Home - PortCastelló</v>
      </c>
      <c r="C86" s="221"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n" cm="1">
        <f t="array" ref="A87">IFERROR(INDEX('03.Muestra'!$B$8:$B$42,SMALL(IF("Página Web"='03.Muestra'!$D$8:$D$42,ROW('03.Muestra'!$B$8:$B$42)-MIN(ROW('03.Muestra'!$D$8:$D$42))+1,""),ROW()-56)),"")</f>
        <v>1.0</v>
      </c>
      <c r="B87" s="221" t="str" cm="1">
        <f t="array" ref="B87">IFERROR(INDEX('03.Muestra'!$C$8:$C$42,SMALL(IF("Página Web"='03.Muestra'!$D$8:$D$42,ROW('03.Muestra'!$C$8:$C$42)-MIN(ROW('03.Muestra'!$D$8:$D$42))+1,""),ROW()-56)),"")</f>
        <v>Home - PortCastelló</v>
      </c>
      <c r="C87" s="221"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n" cm="1">
        <f t="array" ref="A88">IFERROR(INDEX('03.Muestra'!$B$8:$B$42,SMALL(IF("Página Web"='03.Muestra'!$D$8:$D$42,ROW('03.Muestra'!$B$8:$B$42)-MIN(ROW('03.Muestra'!$D$8:$D$42))+1,""),ROW()-56)),"")</f>
        <v>1.0</v>
      </c>
      <c r="B88" s="221" t="str" cm="1">
        <f t="array" ref="B88">IFERROR(INDEX('03.Muestra'!$C$8:$C$42,SMALL(IF("Página Web"='03.Muestra'!$D$8:$D$42,ROW('03.Muestra'!$C$8:$C$42)-MIN(ROW('03.Muestra'!$D$8:$D$42))+1,""),ROW()-56)),"")</f>
        <v>Home - PortCastelló</v>
      </c>
      <c r="C88" s="221"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n" cm="1">
        <f t="array" ref="A89">IFERROR(INDEX('03.Muestra'!$B$8:$B$42,SMALL(IF("Página Web"='03.Muestra'!$D$8:$D$42,ROW('03.Muestra'!$B$8:$B$42)-MIN(ROW('03.Muestra'!$D$8:$D$42))+1,""),ROW()-56)),"")</f>
        <v>1.0</v>
      </c>
      <c r="B89" s="221" t="str" cm="1">
        <f t="array" ref="B89">IFERROR(INDEX('03.Muestra'!$C$8:$C$42,SMALL(IF("Página Web"='03.Muestra'!$D$8:$D$42,ROW('03.Muestra'!$C$8:$C$42)-MIN(ROW('03.Muestra'!$D$8:$D$42))+1,""),ROW()-56)),"")</f>
        <v>Home - PortCastelló</v>
      </c>
      <c r="C89" s="221"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str" cm="1">
        <f t="array" ref="A90">IFERROR(INDEX('03.Muestra'!$B$8:$B$42,SMALL(IF("Página Web"='03.Muestra'!$D$8:$D$42,ROW('03.Muestra'!$B$8:$B$42)-MIN(ROW('03.Muestra'!$D$8:$D$42))+1,""),ROW()-56)),"")</f>
        <v/>
      </c>
      <c r="B90" s="221" t="str" cm="1">
        <f t="array" ref="B90">IFERROR(INDEX('03.Muestra'!$C$8:$C$42,SMALL(IF("Página Web"='03.Muestra'!$D$8:$D$42,ROW('03.Muestra'!$C$8:$C$42)-MIN(ROW('03.Muestra'!$D$8:$D$42))+1,""),ROW()-56)),"")</f>
        <v/>
      </c>
      <c r="C90" s="221" t="str" cm="1">
        <f t="array" ref="C90">IFERROR(INDEX('03.Muestra'!$F$8:$F$42,SMALL(IF("Página Web"='03.Muestra'!$D$8:$D$42,ROW('03.Muestra'!$F$8:$F$42)-MIN(ROW('03.Muestra'!$D$8:$D$42))+1,""),ROW()-56)),"")</f>
        <v/>
      </c>
      <c r="D90" s="130" t="str">
        <f t="shared" si="3"/>
        <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268</v>
      </c>
      <c r="B94" s="24" t="s">
        <v>90</v>
      </c>
      <c r="C94" s="25" t="s">
        <v>250</v>
      </c>
      <c r="D94" s="26" t="s">
        <v>32</v>
      </c>
      <c r="E94" s="123"/>
      <c r="K94" s="19"/>
      <c r="L94" s="19"/>
      <c r="M94" s="19"/>
      <c r="N94" s="19"/>
      <c r="O94" s="19"/>
      <c r="P94" s="19"/>
      <c r="Q94" s="19"/>
      <c r="R94" s="19"/>
      <c r="S94" s="19"/>
      <c r="T94" s="19"/>
      <c r="U94" s="19"/>
      <c r="V94" s="19"/>
      <c r="W94" s="19"/>
      <c r="X94" s="19"/>
      <c r="Y94" s="19"/>
    </row>
    <row r="95" spans="1:25" ht="12" customHeight="1">
      <c r="A95" s="222" t="n" cm="1">
        <f t="array" ref="A95">IFERROR(INDEX('03.Muestra'!$B$8:$B$42,SMALL(IF("Página Web"='03.Muestra'!$D$8:$D$42,ROW('03.Muestra'!$B$8:$B$42)-MIN(ROW('03.Muestra'!$D$8:$D$42))+1,""),ROW()-94)),"")</f>
        <v>1.0</v>
      </c>
      <c r="B95" s="221" t="str" cm="1">
        <f t="array" ref="B95">IFERROR(INDEX('03.Muestra'!$C$8:$C$42,SMALL(IF("Página Web"='03.Muestra'!$D$8:$D$42,ROW('03.Muestra'!$C$8:$C$42)-MIN(ROW('03.Muestra'!$D$8:$D$42))+1,""),ROW()-94)),"")</f>
        <v>Home - PortCastelló</v>
      </c>
      <c r="C95" s="221"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19"/>
      <c r="L95" s="19"/>
      <c r="M95" s="19"/>
      <c r="N95" s="19"/>
      <c r="O95" s="19"/>
      <c r="P95" s="19"/>
      <c r="Q95" s="19"/>
      <c r="R95" s="19"/>
      <c r="S95" s="19"/>
      <c r="T95" s="19"/>
      <c r="U95" s="19"/>
      <c r="V95" s="19"/>
      <c r="W95" s="19"/>
      <c r="X95" s="19"/>
      <c r="Y95" s="19"/>
    </row>
    <row r="96" spans="1:25" ht="12" customHeight="1">
      <c r="A96" s="222" t="n" cm="1">
        <f t="array" ref="A96">IFERROR(INDEX('03.Muestra'!$B$8:$B$42,SMALL(IF("Página Web"='03.Muestra'!$D$8:$D$42,ROW('03.Muestra'!$B$8:$B$42)-MIN(ROW('03.Muestra'!$D$8:$D$42))+1,""),ROW()-94)),"")</f>
        <v>1.0</v>
      </c>
      <c r="B96" s="221" t="str" cm="1">
        <f t="array" ref="B96">IFERROR(INDEX('03.Muestra'!$C$8:$C$42,SMALL(IF("Página Web"='03.Muestra'!$D$8:$D$42,ROW('03.Muestra'!$C$8:$C$42)-MIN(ROW('03.Muestra'!$D$8:$D$42))+1,""),ROW()-94)),"")</f>
        <v>Home - PortCastelló</v>
      </c>
      <c r="C96" s="221"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5"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22" t="n" cm="1">
        <f t="array" ref="A97">IFERROR(INDEX('03.Muestra'!$B$8:$B$42,SMALL(IF("Página Web"='03.Muestra'!$D$8:$D$42,ROW('03.Muestra'!$B$8:$B$42)-MIN(ROW('03.Muestra'!$D$8:$D$42))+1,""),ROW()-94)),"")</f>
        <v>1.0</v>
      </c>
      <c r="B97" s="221" t="str" cm="1">
        <f t="array" ref="B97">IFERROR(INDEX('03.Muestra'!$C$8:$C$42,SMALL(IF("Página Web"='03.Muestra'!$D$8:$D$42,ROW('03.Muestra'!$C$8:$C$42)-MIN(ROW('03.Muestra'!$D$8:$D$42))+1,""),ROW()-94)),"")</f>
        <v>Home - PortCastelló</v>
      </c>
      <c r="C97" s="221"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t="n" cm="1">
        <f t="array" ref="A98">IFERROR(INDEX('03.Muestra'!$B$8:$B$42,SMALL(IF("Página Web"='03.Muestra'!$D$8:$D$42,ROW('03.Muestra'!$B$8:$B$42)-MIN(ROW('03.Muestra'!$D$8:$D$42))+1,""),ROW()-94)),"")</f>
        <v>1.0</v>
      </c>
      <c r="B98" s="221" t="str" cm="1">
        <f t="array" ref="B98">IFERROR(INDEX('03.Muestra'!$C$8:$C$42,SMALL(IF("Página Web"='03.Muestra'!$D$8:$D$42,ROW('03.Muestra'!$C$8:$C$42)-MIN(ROW('03.Muestra'!$D$8:$D$42))+1,""),ROW()-94)),"")</f>
        <v>Home - PortCastelló</v>
      </c>
      <c r="C98" s="221"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t="n" cm="1">
        <f t="array" ref="A99">IFERROR(INDEX('03.Muestra'!$B$8:$B$42,SMALL(IF("Página Web"='03.Muestra'!$D$8:$D$42,ROW('03.Muestra'!$B$8:$B$42)-MIN(ROW('03.Muestra'!$D$8:$D$42))+1,""),ROW()-94)),"")</f>
        <v>1.0</v>
      </c>
      <c r="B99" s="221" t="str" cm="1">
        <f t="array" ref="B99">IFERROR(INDEX('03.Muestra'!$C$8:$C$42,SMALL(IF("Página Web"='03.Muestra'!$D$8:$D$42,ROW('03.Muestra'!$C$8:$C$42)-MIN(ROW('03.Muestra'!$D$8:$D$42))+1,""),ROW()-94)),"")</f>
        <v>Home - PortCastelló</v>
      </c>
      <c r="C99" s="221"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t="n" cm="1">
        <f t="array" ref="A100">IFERROR(INDEX('03.Muestra'!$B$8:$B$42,SMALL(IF("Página Web"='03.Muestra'!$D$8:$D$42,ROW('03.Muestra'!$B$8:$B$42)-MIN(ROW('03.Muestra'!$D$8:$D$42))+1,""),ROW()-94)),"")</f>
        <v>1.0</v>
      </c>
      <c r="B100" s="221" t="str" cm="1">
        <f t="array" ref="B100">IFERROR(INDEX('03.Muestra'!$C$8:$C$42,SMALL(IF("Página Web"='03.Muestra'!$D$8:$D$42,ROW('03.Muestra'!$C$8:$C$42)-MIN(ROW('03.Muestra'!$D$8:$D$42))+1,""),ROW()-94)),"")</f>
        <v>Home - PortCastelló</v>
      </c>
      <c r="C100" s="221"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t="n" cm="1">
        <f t="array" ref="A101">IFERROR(INDEX('03.Muestra'!$B$8:$B$42,SMALL(IF("Página Web"='03.Muestra'!$D$8:$D$42,ROW('03.Muestra'!$B$8:$B$42)-MIN(ROW('03.Muestra'!$D$8:$D$42))+1,""),ROW()-94)),"")</f>
        <v>1.0</v>
      </c>
      <c r="B101" s="221" t="str" cm="1">
        <f t="array" ref="B101">IFERROR(INDEX('03.Muestra'!$C$8:$C$42,SMALL(IF("Página Web"='03.Muestra'!$D$8:$D$42,ROW('03.Muestra'!$C$8:$C$42)-MIN(ROW('03.Muestra'!$D$8:$D$42))+1,""),ROW()-94)),"")</f>
        <v>Home - PortCastelló</v>
      </c>
      <c r="C101" s="221"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t="n" cm="1">
        <f t="array" ref="A102">IFERROR(INDEX('03.Muestra'!$B$8:$B$42,SMALL(IF("Página Web"='03.Muestra'!$D$8:$D$42,ROW('03.Muestra'!$B$8:$B$42)-MIN(ROW('03.Muestra'!$D$8:$D$42))+1,""),ROW()-94)),"")</f>
        <v>1.0</v>
      </c>
      <c r="B102" s="221" t="str" cm="1">
        <f t="array" ref="B102">IFERROR(INDEX('03.Muestra'!$C$8:$C$42,SMALL(IF("Página Web"='03.Muestra'!$D$8:$D$42,ROW('03.Muestra'!$C$8:$C$42)-MIN(ROW('03.Muestra'!$D$8:$D$42))+1,""),ROW()-94)),"")</f>
        <v>Home - PortCastelló</v>
      </c>
      <c r="C102" s="221"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n" cm="1">
        <f t="array" ref="A103">IFERROR(INDEX('03.Muestra'!$B$8:$B$42,SMALL(IF("Página Web"='03.Muestra'!$D$8:$D$42,ROW('03.Muestra'!$B$8:$B$42)-MIN(ROW('03.Muestra'!$D$8:$D$42))+1,""),ROW()-94)),"")</f>
        <v>1.0</v>
      </c>
      <c r="B103" s="221" t="str" cm="1">
        <f t="array" ref="B103">IFERROR(INDEX('03.Muestra'!$C$8:$C$42,SMALL(IF("Página Web"='03.Muestra'!$D$8:$D$42,ROW('03.Muestra'!$C$8:$C$42)-MIN(ROW('03.Muestra'!$D$8:$D$42))+1,""),ROW()-94)),"")</f>
        <v>Home - PortCastelló</v>
      </c>
      <c r="C103" s="221"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n" cm="1">
        <f t="array" ref="A104">IFERROR(INDEX('03.Muestra'!$B$8:$B$42,SMALL(IF("Página Web"='03.Muestra'!$D$8:$D$42,ROW('03.Muestra'!$B$8:$B$42)-MIN(ROW('03.Muestra'!$D$8:$D$42))+1,""),ROW()-94)),"")</f>
        <v>1.0</v>
      </c>
      <c r="B104" s="221" t="str" cm="1">
        <f t="array" ref="B104">IFERROR(INDEX('03.Muestra'!$C$8:$C$42,SMALL(IF("Página Web"='03.Muestra'!$D$8:$D$42,ROW('03.Muestra'!$C$8:$C$42)-MIN(ROW('03.Muestra'!$D$8:$D$42))+1,""),ROW()-94)),"")</f>
        <v>Home - PortCastelló</v>
      </c>
      <c r="C104" s="221"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n" cm="1">
        <f t="array" ref="A105">IFERROR(INDEX('03.Muestra'!$B$8:$B$42,SMALL(IF("Página Web"='03.Muestra'!$D$8:$D$42,ROW('03.Muestra'!$B$8:$B$42)-MIN(ROW('03.Muestra'!$D$8:$D$42))+1,""),ROW()-94)),"")</f>
        <v>1.0</v>
      </c>
      <c r="B105" s="221" t="str" cm="1">
        <f t="array" ref="B105">IFERROR(INDEX('03.Muestra'!$C$8:$C$42,SMALL(IF("Página Web"='03.Muestra'!$D$8:$D$42,ROW('03.Muestra'!$C$8:$C$42)-MIN(ROW('03.Muestra'!$D$8:$D$42))+1,""),ROW()-94)),"")</f>
        <v>Home - PortCastelló</v>
      </c>
      <c r="C105" s="221"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n" cm="1">
        <f t="array" ref="A106">IFERROR(INDEX('03.Muestra'!$B$8:$B$42,SMALL(IF("Página Web"='03.Muestra'!$D$8:$D$42,ROW('03.Muestra'!$B$8:$B$42)-MIN(ROW('03.Muestra'!$D$8:$D$42))+1,""),ROW()-94)),"")</f>
        <v>1.0</v>
      </c>
      <c r="B106" s="221" t="str" cm="1">
        <f t="array" ref="B106">IFERROR(INDEX('03.Muestra'!$C$8:$C$42,SMALL(IF("Página Web"='03.Muestra'!$D$8:$D$42,ROW('03.Muestra'!$C$8:$C$42)-MIN(ROW('03.Muestra'!$D$8:$D$42))+1,""),ROW()-94)),"")</f>
        <v>Home - PortCastelló</v>
      </c>
      <c r="C106" s="221"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t="n" cm="1">
        <f t="array" ref="A107">IFERROR(INDEX('03.Muestra'!$B$8:$B$42,SMALL(IF("Página Web"='03.Muestra'!$D$8:$D$42,ROW('03.Muestra'!$B$8:$B$42)-MIN(ROW('03.Muestra'!$D$8:$D$42))+1,""),ROW()-94)),"")</f>
        <v>1.0</v>
      </c>
      <c r="B107" s="221" t="str" cm="1">
        <f t="array" ref="B107">IFERROR(INDEX('03.Muestra'!$C$8:$C$42,SMALL(IF("Página Web"='03.Muestra'!$D$8:$D$42,ROW('03.Muestra'!$C$8:$C$42)-MIN(ROW('03.Muestra'!$D$8:$D$42))+1,""),ROW()-94)),"")</f>
        <v>Home - PortCastelló</v>
      </c>
      <c r="C107" s="221"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t="n" cm="1">
        <f t="array" ref="A108">IFERROR(INDEX('03.Muestra'!$B$8:$B$42,SMALL(IF("Página Web"='03.Muestra'!$D$8:$D$42,ROW('03.Muestra'!$B$8:$B$42)-MIN(ROW('03.Muestra'!$D$8:$D$42))+1,""),ROW()-94)),"")</f>
        <v>1.0</v>
      </c>
      <c r="B108" s="221" t="str" cm="1">
        <f t="array" ref="B108">IFERROR(INDEX('03.Muestra'!$C$8:$C$42,SMALL(IF("Página Web"='03.Muestra'!$D$8:$D$42,ROW('03.Muestra'!$C$8:$C$42)-MIN(ROW('03.Muestra'!$D$8:$D$42))+1,""),ROW()-94)),"")</f>
        <v>Home - PortCastelló</v>
      </c>
      <c r="C108" s="221"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t="n" cm="1">
        <f t="array" ref="A109">IFERROR(INDEX('03.Muestra'!$B$8:$B$42,SMALL(IF("Página Web"='03.Muestra'!$D$8:$D$42,ROW('03.Muestra'!$B$8:$B$42)-MIN(ROW('03.Muestra'!$D$8:$D$42))+1,""),ROW()-94)),"")</f>
        <v>1.0</v>
      </c>
      <c r="B109" s="221" t="str" cm="1">
        <f t="array" ref="B109">IFERROR(INDEX('03.Muestra'!$C$8:$C$42,SMALL(IF("Página Web"='03.Muestra'!$D$8:$D$42,ROW('03.Muestra'!$C$8:$C$42)-MIN(ROW('03.Muestra'!$D$8:$D$42))+1,""),ROW()-94)),"")</f>
        <v>Home - PortCastelló</v>
      </c>
      <c r="C109" s="221"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t="n" cm="1">
        <f t="array" ref="A110">IFERROR(INDEX('03.Muestra'!$B$8:$B$42,SMALL(IF("Página Web"='03.Muestra'!$D$8:$D$42,ROW('03.Muestra'!$B$8:$B$42)-MIN(ROW('03.Muestra'!$D$8:$D$42))+1,""),ROW()-94)),"")</f>
        <v>1.0</v>
      </c>
      <c r="B110" s="221" t="str" cm="1">
        <f t="array" ref="B110">IFERROR(INDEX('03.Muestra'!$C$8:$C$42,SMALL(IF("Página Web"='03.Muestra'!$D$8:$D$42,ROW('03.Muestra'!$C$8:$C$42)-MIN(ROW('03.Muestra'!$D$8:$D$42))+1,""),ROW()-94)),"")</f>
        <v>Home - PortCastelló</v>
      </c>
      <c r="C110" s="221"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t="n" cm="1">
        <f t="array" ref="A111">IFERROR(INDEX('03.Muestra'!$B$8:$B$42,SMALL(IF("Página Web"='03.Muestra'!$D$8:$D$42,ROW('03.Muestra'!$B$8:$B$42)-MIN(ROW('03.Muestra'!$D$8:$D$42))+1,""),ROW()-94)),"")</f>
        <v>1.0</v>
      </c>
      <c r="B111" s="221" t="str" cm="1">
        <f t="array" ref="B111">IFERROR(INDEX('03.Muestra'!$C$8:$C$42,SMALL(IF("Página Web"='03.Muestra'!$D$8:$D$42,ROW('03.Muestra'!$C$8:$C$42)-MIN(ROW('03.Muestra'!$D$8:$D$42))+1,""),ROW()-94)),"")</f>
        <v>Home - PortCastelló</v>
      </c>
      <c r="C111" s="221"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t="n" cm="1">
        <f t="array" ref="A112">IFERROR(INDEX('03.Muestra'!$B$8:$B$42,SMALL(IF("Página Web"='03.Muestra'!$D$8:$D$42,ROW('03.Muestra'!$B$8:$B$42)-MIN(ROW('03.Muestra'!$D$8:$D$42))+1,""),ROW()-94)),"")</f>
        <v>1.0</v>
      </c>
      <c r="B112" s="221" t="str" cm="1">
        <f t="array" ref="B112">IFERROR(INDEX('03.Muestra'!$C$8:$C$42,SMALL(IF("Página Web"='03.Muestra'!$D$8:$D$42,ROW('03.Muestra'!$C$8:$C$42)-MIN(ROW('03.Muestra'!$D$8:$D$42))+1,""),ROW()-94)),"")</f>
        <v>Home - PortCastelló</v>
      </c>
      <c r="C112" s="221"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t="n" cm="1">
        <f t="array" ref="A113">IFERROR(INDEX('03.Muestra'!$B$8:$B$42,SMALL(IF("Página Web"='03.Muestra'!$D$8:$D$42,ROW('03.Muestra'!$B$8:$B$42)-MIN(ROW('03.Muestra'!$D$8:$D$42))+1,""),ROW()-94)),"")</f>
        <v>1.0</v>
      </c>
      <c r="B113" s="221" t="str" cm="1">
        <f t="array" ref="B113">IFERROR(INDEX('03.Muestra'!$C$8:$C$42,SMALL(IF("Página Web"='03.Muestra'!$D$8:$D$42,ROW('03.Muestra'!$C$8:$C$42)-MIN(ROW('03.Muestra'!$D$8:$D$42))+1,""),ROW()-94)),"")</f>
        <v>Home - PortCastelló</v>
      </c>
      <c r="C113" s="221"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t="n" cm="1">
        <f t="array" ref="A114">IFERROR(INDEX('03.Muestra'!$B$8:$B$42,SMALL(IF("Página Web"='03.Muestra'!$D$8:$D$42,ROW('03.Muestra'!$B$8:$B$42)-MIN(ROW('03.Muestra'!$D$8:$D$42))+1,""),ROW()-94)),"")</f>
        <v>1.0</v>
      </c>
      <c r="B114" s="221" t="str" cm="1">
        <f t="array" ref="B114">IFERROR(INDEX('03.Muestra'!$C$8:$C$42,SMALL(IF("Página Web"='03.Muestra'!$D$8:$D$42,ROW('03.Muestra'!$C$8:$C$42)-MIN(ROW('03.Muestra'!$D$8:$D$42))+1,""),ROW()-94)),"")</f>
        <v>Home - PortCastelló</v>
      </c>
      <c r="C114" s="221"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n" cm="1">
        <f t="array" ref="A115">IFERROR(INDEX('03.Muestra'!$B$8:$B$42,SMALL(IF("Página Web"='03.Muestra'!$D$8:$D$42,ROW('03.Muestra'!$B$8:$B$42)-MIN(ROW('03.Muestra'!$D$8:$D$42))+1,""),ROW()-94)),"")</f>
        <v>1.0</v>
      </c>
      <c r="B115" s="221" t="str" cm="1">
        <f t="array" ref="B115">IFERROR(INDEX('03.Muestra'!$C$8:$C$42,SMALL(IF("Página Web"='03.Muestra'!$D$8:$D$42,ROW('03.Muestra'!$C$8:$C$42)-MIN(ROW('03.Muestra'!$D$8:$D$42))+1,""),ROW()-94)),"")</f>
        <v>Home - PortCastelló</v>
      </c>
      <c r="C115" s="221"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n" cm="1">
        <f t="array" ref="A116">IFERROR(INDEX('03.Muestra'!$B$8:$B$42,SMALL(IF("Página Web"='03.Muestra'!$D$8:$D$42,ROW('03.Muestra'!$B$8:$B$42)-MIN(ROW('03.Muestra'!$D$8:$D$42))+1,""),ROW()-94)),"")</f>
        <v>1.0</v>
      </c>
      <c r="B116" s="221" t="str" cm="1">
        <f t="array" ref="B116">IFERROR(INDEX('03.Muestra'!$C$8:$C$42,SMALL(IF("Página Web"='03.Muestra'!$D$8:$D$42,ROW('03.Muestra'!$C$8:$C$42)-MIN(ROW('03.Muestra'!$D$8:$D$42))+1,""),ROW()-94)),"")</f>
        <v>Home - PortCastelló</v>
      </c>
      <c r="C116" s="221"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n" cm="1">
        <f t="array" ref="A117">IFERROR(INDEX('03.Muestra'!$B$8:$B$42,SMALL(IF("Página Web"='03.Muestra'!$D$8:$D$42,ROW('03.Muestra'!$B$8:$B$42)-MIN(ROW('03.Muestra'!$D$8:$D$42))+1,""),ROW()-94)),"")</f>
        <v>1.0</v>
      </c>
      <c r="B117" s="221" t="str" cm="1">
        <f t="array" ref="B117">IFERROR(INDEX('03.Muestra'!$C$8:$C$42,SMALL(IF("Página Web"='03.Muestra'!$D$8:$D$42,ROW('03.Muestra'!$C$8:$C$42)-MIN(ROW('03.Muestra'!$D$8:$D$42))+1,""),ROW()-94)),"")</f>
        <v>Home - PortCastelló</v>
      </c>
      <c r="C117" s="221"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n" cm="1">
        <f t="array" ref="A118">IFERROR(INDEX('03.Muestra'!$B$8:$B$42,SMALL(IF("Página Web"='03.Muestra'!$D$8:$D$42,ROW('03.Muestra'!$B$8:$B$42)-MIN(ROW('03.Muestra'!$D$8:$D$42))+1,""),ROW()-94)),"")</f>
        <v>1.0</v>
      </c>
      <c r="B118" s="221" t="str" cm="1">
        <f t="array" ref="B118">IFERROR(INDEX('03.Muestra'!$C$8:$C$42,SMALL(IF("Página Web"='03.Muestra'!$D$8:$D$42,ROW('03.Muestra'!$C$8:$C$42)-MIN(ROW('03.Muestra'!$D$8:$D$42))+1,""),ROW()-94)),"")</f>
        <v>Home - PortCastelló</v>
      </c>
      <c r="C118" s="221"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n" cm="1">
        <f t="array" ref="A119">IFERROR(INDEX('03.Muestra'!$B$8:$B$42,SMALL(IF("Página Web"='03.Muestra'!$D$8:$D$42,ROW('03.Muestra'!$B$8:$B$42)-MIN(ROW('03.Muestra'!$D$8:$D$42))+1,""),ROW()-94)),"")</f>
        <v>1.0</v>
      </c>
      <c r="B119" s="221" t="str" cm="1">
        <f t="array" ref="B119">IFERROR(INDEX('03.Muestra'!$C$8:$C$42,SMALL(IF("Página Web"='03.Muestra'!$D$8:$D$42,ROW('03.Muestra'!$C$8:$C$42)-MIN(ROW('03.Muestra'!$D$8:$D$42))+1,""),ROW()-94)),"")</f>
        <v>Home - PortCastelló</v>
      </c>
      <c r="C119" s="221"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n" cm="1">
        <f t="array" ref="A120">IFERROR(INDEX('03.Muestra'!$B$8:$B$42,SMALL(IF("Página Web"='03.Muestra'!$D$8:$D$42,ROW('03.Muestra'!$B$8:$B$42)-MIN(ROW('03.Muestra'!$D$8:$D$42))+1,""),ROW()-94)),"")</f>
        <v>1.0</v>
      </c>
      <c r="B120" s="221" t="str" cm="1">
        <f t="array" ref="B120">IFERROR(INDEX('03.Muestra'!$C$8:$C$42,SMALL(IF("Página Web"='03.Muestra'!$D$8:$D$42,ROW('03.Muestra'!$C$8:$C$42)-MIN(ROW('03.Muestra'!$D$8:$D$42))+1,""),ROW()-94)),"")</f>
        <v>Home - PortCastelló</v>
      </c>
      <c r="C120" s="221"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n" cm="1">
        <f t="array" ref="A121">IFERROR(INDEX('03.Muestra'!$B$8:$B$42,SMALL(IF("Página Web"='03.Muestra'!$D$8:$D$42,ROW('03.Muestra'!$B$8:$B$42)-MIN(ROW('03.Muestra'!$D$8:$D$42))+1,""),ROW()-94)),"")</f>
        <v>1.0</v>
      </c>
      <c r="B121" s="221" t="str" cm="1">
        <f t="array" ref="B121">IFERROR(INDEX('03.Muestra'!$C$8:$C$42,SMALL(IF("Página Web"='03.Muestra'!$D$8:$D$42,ROW('03.Muestra'!$C$8:$C$42)-MIN(ROW('03.Muestra'!$D$8:$D$42))+1,""),ROW()-94)),"")</f>
        <v>Home - PortCastelló</v>
      </c>
      <c r="C121" s="221"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n" cm="1">
        <f t="array" ref="A122">IFERROR(INDEX('03.Muestra'!$B$8:$B$42,SMALL(IF("Página Web"='03.Muestra'!$D$8:$D$42,ROW('03.Muestra'!$B$8:$B$42)-MIN(ROW('03.Muestra'!$D$8:$D$42))+1,""),ROW()-94)),"")</f>
        <v>1.0</v>
      </c>
      <c r="B122" s="221" t="str" cm="1">
        <f t="array" ref="B122">IFERROR(INDEX('03.Muestra'!$C$8:$C$42,SMALL(IF("Página Web"='03.Muestra'!$D$8:$D$42,ROW('03.Muestra'!$C$8:$C$42)-MIN(ROW('03.Muestra'!$D$8:$D$42))+1,""),ROW()-94)),"")</f>
        <v>Home - PortCastelló</v>
      </c>
      <c r="C122" s="221"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n" cm="1">
        <f t="array" ref="A123">IFERROR(INDEX('03.Muestra'!$B$8:$B$42,SMALL(IF("Página Web"='03.Muestra'!$D$8:$D$42,ROW('03.Muestra'!$B$8:$B$42)-MIN(ROW('03.Muestra'!$D$8:$D$42))+1,""),ROW()-94)),"")</f>
        <v>1.0</v>
      </c>
      <c r="B123" s="221" t="str" cm="1">
        <f t="array" ref="B123">IFERROR(INDEX('03.Muestra'!$C$8:$C$42,SMALL(IF("Página Web"='03.Muestra'!$D$8:$D$42,ROW('03.Muestra'!$C$8:$C$42)-MIN(ROW('03.Muestra'!$D$8:$D$42))+1,""),ROW()-94)),"")</f>
        <v>Home - PortCastelló</v>
      </c>
      <c r="C123" s="221"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n" cm="1">
        <f t="array" ref="A124">IFERROR(INDEX('03.Muestra'!$B$8:$B$42,SMALL(IF("Página Web"='03.Muestra'!$D$8:$D$42,ROW('03.Muestra'!$B$8:$B$42)-MIN(ROW('03.Muestra'!$D$8:$D$42))+1,""),ROW()-94)),"")</f>
        <v>1.0</v>
      </c>
      <c r="B124" s="221" t="str" cm="1">
        <f t="array" ref="B124">IFERROR(INDEX('03.Muestra'!$C$8:$C$42,SMALL(IF("Página Web"='03.Muestra'!$D$8:$D$42,ROW('03.Muestra'!$C$8:$C$42)-MIN(ROW('03.Muestra'!$D$8:$D$42))+1,""),ROW()-94)),"")</f>
        <v>Home - PortCastelló</v>
      </c>
      <c r="C124" s="221"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n" cm="1">
        <f t="array" ref="A125">IFERROR(INDEX('03.Muestra'!$B$8:$B$42,SMALL(IF("Página Web"='03.Muestra'!$D$8:$D$42,ROW('03.Muestra'!$B$8:$B$42)-MIN(ROW('03.Muestra'!$D$8:$D$42))+1,""),ROW()-94)),"")</f>
        <v>1.0</v>
      </c>
      <c r="B125" s="221" t="str" cm="1">
        <f t="array" ref="B125">IFERROR(INDEX('03.Muestra'!$C$8:$C$42,SMALL(IF("Página Web"='03.Muestra'!$D$8:$D$42,ROW('03.Muestra'!$C$8:$C$42)-MIN(ROW('03.Muestra'!$D$8:$D$42))+1,""),ROW()-94)),"")</f>
        <v>Home - PortCastelló</v>
      </c>
      <c r="C125" s="221"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n" cm="1">
        <f t="array" ref="A126">IFERROR(INDEX('03.Muestra'!$B$8:$B$42,SMALL(IF("Página Web"='03.Muestra'!$D$8:$D$42,ROW('03.Muestra'!$B$8:$B$42)-MIN(ROW('03.Muestra'!$D$8:$D$42))+1,""),ROW()-94)),"")</f>
        <v>1.0</v>
      </c>
      <c r="B126" s="221" t="str" cm="1">
        <f t="array" ref="B126">IFERROR(INDEX('03.Muestra'!$C$8:$C$42,SMALL(IF("Página Web"='03.Muestra'!$D$8:$D$42,ROW('03.Muestra'!$C$8:$C$42)-MIN(ROW('03.Muestra'!$D$8:$D$42))+1,""),ROW()-94)),"")</f>
        <v>Home - PortCastelló</v>
      </c>
      <c r="C126" s="221"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n" cm="1">
        <f t="array" ref="A127">IFERROR(INDEX('03.Muestra'!$B$8:$B$42,SMALL(IF("Página Web"='03.Muestra'!$D$8:$D$42,ROW('03.Muestra'!$B$8:$B$42)-MIN(ROW('03.Muestra'!$D$8:$D$42))+1,""),ROW()-94)),"")</f>
        <v>1.0</v>
      </c>
      <c r="B127" s="221" t="str" cm="1">
        <f t="array" ref="B127">IFERROR(INDEX('03.Muestra'!$C$8:$C$42,SMALL(IF("Página Web"='03.Muestra'!$D$8:$D$42,ROW('03.Muestra'!$C$8:$C$42)-MIN(ROW('03.Muestra'!$D$8:$D$42))+1,""),ROW()-94)),"")</f>
        <v>Home - PortCastelló</v>
      </c>
      <c r="C127" s="221"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str" cm="1">
        <f t="array" ref="A128">IFERROR(INDEX('03.Muestra'!$B$8:$B$42,SMALL(IF("Página Web"='03.Muestra'!$D$8:$D$42,ROW('03.Muestra'!$B$8:$B$42)-MIN(ROW('03.Muestra'!$D$8:$D$42))+1,""),ROW()-94)),"")</f>
        <v/>
      </c>
      <c r="B128" s="221" t="str" cm="1">
        <f t="array" ref="B128">IFERROR(INDEX('03.Muestra'!$C$8:$C$42,SMALL(IF("Página Web"='03.Muestra'!$D$8:$D$42,ROW('03.Muestra'!$C$8:$C$42)-MIN(ROW('03.Muestra'!$D$8:$D$42))+1,""),ROW()-94)),"")</f>
        <v/>
      </c>
      <c r="C128" s="221" t="str" cm="1">
        <f t="array" ref="C128">IFERROR(INDEX('03.Muestra'!$F$8:$F$42,SMALL(IF("Página Web"='03.Muestra'!$D$8:$D$42,ROW('03.Muestra'!$F$8:$F$42)-MIN(ROW('03.Muestra'!$D$8:$D$42))+1,""),ROW()-94)),"")</f>
        <v/>
      </c>
      <c r="D128" s="130" t="str">
        <f t="shared" si="5"/>
        <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CalcPr fullCalcOnLoad="true"/>
  <sheetProtection password="DC4E" sheet="true" scenarios="true" objects="true"/>
  <mergeCells count="2">
    <mergeCell ref="B11:C11"/>
    <mergeCell ref="B9:M9"/>
  </mergeCells>
  <conditionalFormatting sqref="E57:E91 E95:E129 E19:E53">
    <cfRule type="cellIs" dxfId="1187" priority="154" stopIfTrue="1" operator="equal">
      <formula>"ERR"</formula>
    </cfRule>
  </conditionalFormatting>
  <conditionalFormatting sqref="D19:D53 D57:D91 D95:D129 F19:J19 F57:J57 F95:J95">
    <cfRule type="expression" dxfId="1186" priority="148" stopIfTrue="1">
      <formula>ISBLANK(D19)</formula>
    </cfRule>
    <cfRule type="cellIs" dxfId="1185" priority="149" stopIfTrue="1" operator="equal">
      <formula>"Pasa"</formula>
    </cfRule>
    <cfRule type="cellIs" dxfId="1184" priority="150" stopIfTrue="1" operator="equal">
      <formula>"Falla"</formula>
    </cfRule>
    <cfRule type="cellIs" dxfId="1183" priority="151" stopIfTrue="1" operator="equal">
      <formula>"N/A"</formula>
    </cfRule>
    <cfRule type="cellIs" dxfId="1182" priority="152" stopIfTrue="1" operator="equal">
      <formula>"N/T"</formula>
    </cfRule>
    <cfRule type="cellIs" dxfId="1181" priority="153" stopIfTrue="1" operator="equal">
      <formula>"N/D"</formula>
    </cfRule>
  </conditionalFormatting>
  <conditionalFormatting sqref="D1:D8 D10:D1048576">
    <cfRule type="cellIs" dxfId="1180" priority="20" stopIfTrue="1" operator="equal">
      <formula>"-"</formula>
    </cfRule>
  </conditionalFormatting>
  <conditionalFormatting sqref="K23">
    <cfRule type="expression" dxfId="1179" priority="7" stopIfTrue="1">
      <formula>ISBLANK(K23)</formula>
    </cfRule>
    <cfRule type="cellIs" dxfId="1178" priority="8" stopIfTrue="1" operator="equal">
      <formula>"Pasa"</formula>
    </cfRule>
    <cfRule type="cellIs" dxfId="1177" priority="9" stopIfTrue="1" operator="equal">
      <formula>"Falla"</formula>
    </cfRule>
    <cfRule type="cellIs" dxfId="1176" priority="10" stopIfTrue="1" operator="equal">
      <formula>"N/A"</formula>
    </cfRule>
    <cfRule type="cellIs" dxfId="1175" priority="11" stopIfTrue="1" operator="equal">
      <formula>"N/T"</formula>
    </cfRule>
    <cfRule type="cellIs" dxfId="1174" priority="12" stopIfTrue="1" operator="equal">
      <formula>"N/D"</formula>
    </cfRule>
  </conditionalFormatting>
  <conditionalFormatting sqref="K24">
    <cfRule type="expression" dxfId="1173" priority="1" stopIfTrue="1">
      <formula>ISBLANK(K24)</formula>
    </cfRule>
    <cfRule type="cellIs" dxfId="1172" priority="2" stopIfTrue="1" operator="equal">
      <formula>"Pasa"</formula>
    </cfRule>
    <cfRule type="cellIs" dxfId="1171" priority="3" stopIfTrue="1" operator="equal">
      <formula>"Falla"</formula>
    </cfRule>
    <cfRule type="cellIs" dxfId="1170" priority="4" stopIfTrue="1" operator="equal">
      <formula>"N/A"</formula>
    </cfRule>
    <cfRule type="cellIs" dxfId="1169" priority="5" stopIfTrue="1" operator="equal">
      <formula>"N/T"</formula>
    </cfRule>
    <cfRule type="cellIs" dxfId="116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L746"/>
  <sheetViews>
    <sheetView topLeftCell="A114" zoomScale="77" zoomScaleNormal="77"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COUNTIF($B$18:$B$4418,B12)</f>
        <v>19.0</v>
      </c>
      <c r="D12" s="28"/>
      <c r="E12" s="14"/>
      <c r="F12" s="62" t="s">
        <v>26</v>
      </c>
      <c r="G12" s="61" t="n">
        <f ca="1">J20+J58+J96+J134+J172+J210+J248+J286+J324+J362+J400+J438+J476+J514+J552+J590+J628+J666+J704</f>
        <v>0.0</v>
      </c>
      <c r="H12" s="53" t="n">
        <f ca="1">IF(($G$15+$K$15)=0,0,G12/($G$15+$K$15))</f>
        <v>0.0</v>
      </c>
      <c r="I12" s="28"/>
      <c r="J12" s="60" t="s">
        <v>27</v>
      </c>
      <c r="K12" s="61" t="n">
        <f ca="1">G20+G58+G96+G134+G172+G210+G248+G286+G324+G362+G400+G438+G476+G514+G552+G590+G628+G666+G704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f>
        <v>0.0</v>
      </c>
      <c r="H13" s="53" t="n">
        <f ca="1">IF(($G$15+$K$15)=0,0,G13/($G$15+$K$15))</f>
        <v>0.0</v>
      </c>
      <c r="I13" s="28"/>
      <c r="J13" s="60" t="s">
        <v>29</v>
      </c>
      <c r="K13" s="61" t="n">
        <f ca="1">F20+F58+F96+F134+F172+F210+F248+F286+F324+F362+F400+F438+F476+F514+F552+F590+F628+F666+F704</f>
        <v>627.0</v>
      </c>
      <c r="L13" s="53" t="n">
        <f ca="1">IF(($G$15+$K$15)=0,0,K13/($G$15+$K$15))</f>
        <v>1.0</v>
      </c>
      <c r="M13" s="19"/>
      <c r="N13" s="19"/>
      <c r="O13" s="19"/>
      <c r="P13" s="19"/>
      <c r="Q13" s="19"/>
      <c r="R13" s="19"/>
      <c r="U13" s="19"/>
      <c r="V13" s="19"/>
      <c r="W13" s="19"/>
      <c r="X13" s="19"/>
      <c r="Y13" s="19"/>
    </row>
    <row r="14" spans="1:64" ht="12" customHeight="1" thickBot="1">
      <c r="B14" s="58" t="s">
        <v>30</v>
      </c>
      <c r="C14" s="59" t="n">
        <f>C12+C13</f>
        <v>19.0</v>
      </c>
      <c r="D14" s="28"/>
      <c r="E14" s="14"/>
      <c r="F14" s="62" t="s">
        <v>31</v>
      </c>
      <c r="G14" s="61" t="n">
        <f ca="1">H20+H58+H96+H134+H172+H210+H248+H286+H324+H362+H400+H438+H476+H514+H552+H590+H628+H666+H704</f>
        <v>0.0</v>
      </c>
      <c r="H14" s="53" t="n">
        <f ca="1">IF(($G$15+$K$15)=0,0,G14/($G$15+$K$15))</f>
        <v>0.0</v>
      </c>
      <c r="I14" s="28"/>
      <c r="J14" s="224" t="s">
        <v>474</v>
      </c>
      <c r="K14" s="223" t="n">
        <f ca="1">K20+K58+K96+K134+K172+K210+K248+K286+K324+K362+K400+K438+K476+K514+K552+K590+K628+K666+K704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627.0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352</v>
      </c>
      <c r="D56" s="26" t="s">
        <v>32</v>
      </c>
      <c r="E56" s="123"/>
      <c r="K56" s="228"/>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9"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30"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268</v>
      </c>
      <c r="B94" s="24" t="s">
        <v>90</v>
      </c>
      <c r="C94" s="25" t="s">
        <v>353</v>
      </c>
      <c r="D94" s="26" t="s">
        <v>32</v>
      </c>
      <c r="E94" s="123"/>
      <c r="K94" s="228"/>
      <c r="L94" s="19"/>
      <c r="M94" s="19"/>
      <c r="N94" s="19"/>
      <c r="O94" s="19"/>
      <c r="P94" s="19"/>
      <c r="Q94" s="19"/>
      <c r="R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9" t="s">
        <v>474</v>
      </c>
      <c r="L95" s="19"/>
      <c r="M95" s="19"/>
      <c r="N95" s="19"/>
      <c r="O95" s="19"/>
      <c r="P95" s="19"/>
      <c r="Q95" s="19"/>
      <c r="R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30" t="n">
        <f ca="1">IF(COUNTIF('03.Muestra'!$D$8:$D$42,"Página Web")=0,0,COUNTBLANK($D95:INDIRECT("$D" &amp;  SUM(ROW()-1,COUNTIF('03.Muestra'!$D$8:$D$42,"Página Web"))-1)))</f>
        <v>0.0</v>
      </c>
      <c r="L96" s="19"/>
      <c r="M96" s="19"/>
      <c r="N96" s="19"/>
      <c r="O96" s="19"/>
      <c r="P96" s="19"/>
      <c r="Q96" s="19"/>
      <c r="R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268</v>
      </c>
      <c r="B132" s="24" t="s">
        <v>90</v>
      </c>
      <c r="C132" s="25" t="s">
        <v>354</v>
      </c>
      <c r="D132" s="26" t="s">
        <v>32</v>
      </c>
      <c r="E132" s="123"/>
      <c r="K132" s="228"/>
      <c r="L132" s="19"/>
      <c r="M132" s="19"/>
      <c r="N132" s="19"/>
      <c r="O132" s="19"/>
      <c r="P132" s="19"/>
      <c r="Q132" s="19"/>
      <c r="R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9" t="s">
        <v>474</v>
      </c>
      <c r="L133" s="19"/>
      <c r="M133" s="19"/>
      <c r="N133" s="19"/>
      <c r="O133" s="19"/>
      <c r="P133" s="19"/>
      <c r="Q133" s="19"/>
      <c r="R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30" t="n">
        <f ca="1">IF(COUNTIF('03.Muestra'!$D$8:$D$42,"Página Web")=0,0,COUNTBLANK($D133:INDIRECT("$D" &amp;  SUM(ROW()-1,COUNTIF('03.Muestra'!$D$8:$D$42,"Página Web"))-1)))</f>
        <v>0.0</v>
      </c>
      <c r="L134" s="19"/>
      <c r="M134" s="19"/>
      <c r="N134" s="19"/>
      <c r="O134" s="19"/>
      <c r="P134" s="19"/>
      <c r="Q134" s="19"/>
      <c r="R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268</v>
      </c>
      <c r="B170" s="24" t="s">
        <v>90</v>
      </c>
      <c r="C170" s="25" t="s">
        <v>355</v>
      </c>
      <c r="D170" s="26" t="s">
        <v>32</v>
      </c>
      <c r="E170" s="123"/>
      <c r="K170" s="228"/>
      <c r="L170" s="19"/>
      <c r="M170" s="19"/>
      <c r="N170" s="19"/>
      <c r="O170" s="19"/>
      <c r="P170" s="19"/>
      <c r="Q170" s="19"/>
      <c r="R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9" t="s">
        <v>474</v>
      </c>
      <c r="L171" s="19"/>
      <c r="M171" s="19"/>
      <c r="N171" s="19"/>
      <c r="O171" s="19"/>
      <c r="P171" s="19"/>
      <c r="Q171" s="19"/>
      <c r="R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30" t="n">
        <f ca="1">IF(COUNTIF('03.Muestra'!$D$8:$D$42,"Página Web")=0,0,COUNTBLANK($D171:INDIRECT("$D" &amp;  SUM(ROW()-1,COUNTIF('03.Muestra'!$D$8:$D$42,"Página Web"))-1)))</f>
        <v>0.0</v>
      </c>
      <c r="L172" s="19"/>
      <c r="M172" s="19"/>
      <c r="N172" s="19"/>
      <c r="O172" s="19"/>
      <c r="P172" s="19"/>
      <c r="Q172" s="19"/>
      <c r="R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268</v>
      </c>
      <c r="B208" s="24" t="s">
        <v>90</v>
      </c>
      <c r="C208" s="217" t="s">
        <v>364</v>
      </c>
      <c r="D208" s="26" t="s">
        <v>32</v>
      </c>
      <c r="E208" s="123"/>
      <c r="K208" s="228"/>
      <c r="L208" s="19"/>
      <c r="M208" s="19"/>
      <c r="N208" s="19"/>
      <c r="O208" s="19"/>
      <c r="P208" s="19"/>
      <c r="Q208" s="19"/>
      <c r="R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9" t="s">
        <v>474</v>
      </c>
      <c r="L209" s="19"/>
      <c r="M209" s="19"/>
      <c r="N209" s="19"/>
      <c r="O209" s="19"/>
      <c r="P209" s="19"/>
      <c r="Q209" s="19"/>
      <c r="R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30" t="n">
        <f ca="1">IF(COUNTIF('03.Muestra'!$D$8:$D$42,"Página Web")=0,0,COUNTBLANK($D209:INDIRECT("$D" &amp;  SUM(ROW()-1,COUNTIF('03.Muestra'!$D$8:$D$42,"Página Web"))-1)))</f>
        <v>0.0</v>
      </c>
      <c r="L210" s="19"/>
      <c r="M210" s="19"/>
      <c r="N210" s="19"/>
      <c r="O210" s="19"/>
      <c r="P210" s="19"/>
      <c r="Q210" s="19"/>
      <c r="R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268</v>
      </c>
      <c r="B246" s="24" t="s">
        <v>90</v>
      </c>
      <c r="C246" s="217" t="s">
        <v>314</v>
      </c>
      <c r="D246" s="26" t="s">
        <v>32</v>
      </c>
      <c r="E246" s="123"/>
      <c r="K246" s="228"/>
      <c r="L246" s="19"/>
      <c r="M246" s="19"/>
      <c r="N246" s="19"/>
      <c r="O246" s="19"/>
      <c r="P246" s="19"/>
      <c r="Q246" s="19"/>
      <c r="R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9" t="s">
        <v>474</v>
      </c>
      <c r="L247" s="19"/>
      <c r="M247" s="19"/>
      <c r="N247" s="19"/>
      <c r="O247" s="19"/>
      <c r="P247" s="19"/>
      <c r="Q247" s="19"/>
      <c r="R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30" t="n">
        <f ca="1">IF(COUNTIF('03.Muestra'!$D$8:$D$42,"Página Web")=0,0,COUNTBLANK($D247:INDIRECT("$D" &amp;  SUM(ROW()-1,COUNTIF('03.Muestra'!$D$8:$D$42,"Página Web"))-1)))</f>
        <v>0.0</v>
      </c>
      <c r="L248" s="19"/>
      <c r="M248" s="19"/>
      <c r="N248" s="19"/>
      <c r="O248" s="19"/>
      <c r="P248" s="19"/>
      <c r="Q248" s="19"/>
      <c r="R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268</v>
      </c>
      <c r="B284" s="24" t="s">
        <v>90</v>
      </c>
      <c r="C284" s="25" t="s">
        <v>365</v>
      </c>
      <c r="D284" s="26" t="s">
        <v>32</v>
      </c>
      <c r="E284" s="123"/>
      <c r="K284" s="228"/>
      <c r="L284" s="19"/>
      <c r="M284" s="19"/>
      <c r="N284" s="19"/>
      <c r="O284" s="19"/>
      <c r="P284" s="19"/>
      <c r="Q284" s="19"/>
      <c r="R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9" t="s">
        <v>474</v>
      </c>
      <c r="L285" s="19"/>
      <c r="M285" s="19"/>
      <c r="N285" s="19"/>
      <c r="O285" s="19"/>
      <c r="P285" s="19"/>
      <c r="Q285" s="19"/>
      <c r="R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30" t="n">
        <f ca="1">IF(COUNTIF('03.Muestra'!$D$8:$D$42,"Página Web")=0,0,COUNTBLANK($D285:INDIRECT("$D" &amp;  SUM(ROW()-1,COUNTIF('03.Muestra'!$D$8:$D$42,"Página Web"))-1)))</f>
        <v>0.0</v>
      </c>
      <c r="L286" s="19"/>
      <c r="M286" s="19"/>
      <c r="N286" s="19"/>
      <c r="O286" s="19"/>
      <c r="P286" s="19"/>
      <c r="Q286" s="19"/>
      <c r="R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268</v>
      </c>
      <c r="B322" s="24" t="s">
        <v>90</v>
      </c>
      <c r="C322" s="25" t="s">
        <v>366</v>
      </c>
      <c r="D322" s="26" t="s">
        <v>32</v>
      </c>
      <c r="E322" s="123"/>
      <c r="K322" s="228"/>
      <c r="L322" s="19"/>
      <c r="M322" s="19"/>
      <c r="N322" s="19"/>
      <c r="O322" s="19"/>
      <c r="P322" s="19"/>
      <c r="Q322" s="19"/>
      <c r="R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9" t="s">
        <v>474</v>
      </c>
      <c r="L323" s="19"/>
      <c r="M323" s="19"/>
      <c r="N323" s="19"/>
      <c r="O323" s="19"/>
      <c r="P323" s="19"/>
      <c r="Q323" s="19"/>
      <c r="R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33.0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30" t="n">
        <f ca="1">IF(COUNTIF('03.Muestra'!$D$8:$D$42,"Página Web")=0,0,COUNTBLANK($D323:INDIRECT("$D" &amp;  SUM(ROW()-1,COUNTIF('03.Muestra'!$D$8:$D$42,"Página Web"))-1)))</f>
        <v>0.0</v>
      </c>
      <c r="L324" s="19"/>
      <c r="M324" s="19"/>
      <c r="N324" s="19"/>
      <c r="O324" s="19"/>
      <c r="P324" s="19"/>
      <c r="Q324" s="19"/>
      <c r="R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268</v>
      </c>
      <c r="B360" s="24" t="s">
        <v>90</v>
      </c>
      <c r="C360" s="25" t="s">
        <v>367</v>
      </c>
      <c r="D360" s="26" t="s">
        <v>32</v>
      </c>
      <c r="E360" s="123"/>
      <c r="K360" s="228"/>
      <c r="L360" s="19"/>
      <c r="M360" s="19"/>
      <c r="N360" s="19"/>
      <c r="O360" s="19"/>
      <c r="P360" s="19"/>
      <c r="Q360" s="19"/>
      <c r="R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tr">
        <f>IF(AND(B361&lt;&gt;"",C361&lt;&gt;""),"N/T","")</f>
        <v>N/T</v>
      </c>
      <c r="E361" s="107" t="str">
        <f t="shared" ref="E361:E395" si="18">IF(D361&lt;&gt;"",IF(AND(B361&lt;&gt;"",C361&lt;&gt;""),"","ERR"),"")</f>
        <v/>
      </c>
      <c r="F361" s="115" t="s">
        <v>33</v>
      </c>
      <c r="G361" s="116" t="s">
        <v>37</v>
      </c>
      <c r="H361" s="117" t="s">
        <v>35</v>
      </c>
      <c r="I361" s="118" t="s">
        <v>28</v>
      </c>
      <c r="J361" s="119" t="s">
        <v>26</v>
      </c>
      <c r="K361" s="229" t="s">
        <v>474</v>
      </c>
      <c r="L361" s="19"/>
      <c r="M361" s="19"/>
      <c r="N361" s="19"/>
      <c r="O361" s="19"/>
      <c r="P361" s="19"/>
      <c r="Q361" s="19"/>
      <c r="R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tr">
        <f t="shared" ref="D362:D395" si="19">IF(AND(B362&lt;&gt;"",C362&lt;&gt;""),"N/T","")</f>
        <v>N/T</v>
      </c>
      <c r="E362" s="107" t="str">
        <f t="shared" si="18"/>
        <v/>
      </c>
      <c r="F362" s="120" t="n">
        <f ca="1">COUNTIF($D361:INDIRECT("$D" &amp;  SUM(ROW()-1,'03.Muestra'!$D$45)-1),F361)</f>
        <v>33.0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30" t="n">
        <f ca="1">IF(COUNTIF('03.Muestra'!$D$8:$D$42,"Página Web")=0,0,COUNTBLANK($D361:INDIRECT("$D" &amp;  SUM(ROW()-1,COUNTIF('03.Muestra'!$D$8:$D$42,"Página Web"))-1)))</f>
        <v>0.0</v>
      </c>
      <c r="L362" s="19"/>
      <c r="M362" s="19"/>
      <c r="N362" s="19"/>
      <c r="O362" s="19"/>
      <c r="P362" s="19"/>
      <c r="Q362" s="19"/>
      <c r="R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tr">
        <f t="shared" si="19"/>
        <v>N/T</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tr">
        <f t="shared" si="19"/>
        <v>N/T</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tr">
        <f t="shared" si="19"/>
        <v>N/T</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tr">
        <f t="shared" si="19"/>
        <v>N/T</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tr">
        <f t="shared" si="19"/>
        <v>N/T</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tr">
        <f t="shared" si="19"/>
        <v>N/T</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tr">
        <f t="shared" si="19"/>
        <v>N/T</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tr">
        <f t="shared" si="19"/>
        <v>N/T</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tr">
        <f t="shared" si="19"/>
        <v>N/T</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tr">
        <f t="shared" si="19"/>
        <v>N/T</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tr">
        <f t="shared" si="19"/>
        <v>N/T</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tr">
        <f t="shared" si="19"/>
        <v>N/T</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tr">
        <f t="shared" si="19"/>
        <v>N/T</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tr">
        <f t="shared" si="19"/>
        <v>N/T</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tr">
        <f t="shared" si="19"/>
        <v>N/T</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tr">
        <f t="shared" si="19"/>
        <v>N/T</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tr">
        <f t="shared" si="19"/>
        <v>N/T</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tr">
        <f t="shared" si="19"/>
        <v>N/T</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tr">
        <f t="shared" si="19"/>
        <v>N/T</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tr">
        <f t="shared" si="19"/>
        <v>N/T</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tr">
        <f t="shared" si="19"/>
        <v>N/T</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tr">
        <f t="shared" si="19"/>
        <v>N/T</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tr">
        <f t="shared" si="19"/>
        <v>N/T</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tr">
        <f t="shared" si="19"/>
        <v>N/T</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tr">
        <f t="shared" si="19"/>
        <v>N/T</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tr">
        <f t="shared" si="19"/>
        <v>N/T</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tr">
        <f t="shared" si="19"/>
        <v>N/T</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tr">
        <f t="shared" si="19"/>
        <v>N/T</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tr">
        <f t="shared" si="19"/>
        <v>N/T</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tr">
        <f t="shared" si="19"/>
        <v>N/T</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tr">
        <f t="shared" si="19"/>
        <v>N/T</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268</v>
      </c>
      <c r="B398" s="24" t="s">
        <v>90</v>
      </c>
      <c r="C398" s="25" t="s">
        <v>368</v>
      </c>
      <c r="D398" s="26" t="s">
        <v>32</v>
      </c>
      <c r="E398" s="123"/>
      <c r="K398" s="228"/>
      <c r="L398" s="19"/>
      <c r="M398" s="19"/>
      <c r="N398" s="19"/>
      <c r="O398" s="19"/>
      <c r="P398" s="19"/>
      <c r="Q398" s="19"/>
      <c r="R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9" t="s">
        <v>474</v>
      </c>
      <c r="L399" s="19"/>
      <c r="M399" s="19"/>
      <c r="N399" s="19"/>
      <c r="O399" s="19"/>
      <c r="P399" s="19"/>
      <c r="Q399" s="19"/>
      <c r="R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33.0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30" t="n">
        <f ca="1">IF(COUNTIF('03.Muestra'!$D$8:$D$42,"Página Web")=0,0,COUNTBLANK($D399:INDIRECT("$D" &amp;  SUM(ROW()-1,COUNTIF('03.Muestra'!$D$8:$D$42,"Página Web"))-1)))</f>
        <v>0.0</v>
      </c>
      <c r="L400" s="19"/>
      <c r="M400" s="19"/>
      <c r="N400" s="19"/>
      <c r="O400" s="19"/>
      <c r="P400" s="19"/>
      <c r="Q400" s="19"/>
      <c r="R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268</v>
      </c>
      <c r="B436" s="24" t="s">
        <v>90</v>
      </c>
      <c r="C436" s="25" t="s">
        <v>356</v>
      </c>
      <c r="D436" s="26" t="s">
        <v>32</v>
      </c>
      <c r="E436" s="123"/>
      <c r="K436" s="228"/>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9"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33.0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30"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268</v>
      </c>
      <c r="B474" s="24" t="s">
        <v>90</v>
      </c>
      <c r="C474" s="25" t="s">
        <v>254</v>
      </c>
      <c r="D474" s="26" t="s">
        <v>32</v>
      </c>
      <c r="E474" s="123"/>
      <c r="K474" s="228"/>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tr">
        <f>IF(AND(B475&lt;&gt;"",C475&lt;&gt;""),"N/T","")</f>
        <v>N/T</v>
      </c>
      <c r="E475" s="107" t="str">
        <f t="shared" ref="E475:E509" si="24">IF(D475&lt;&gt;"",IF(AND(B475&lt;&gt;"",C475&lt;&gt;""),"","ERR"),"")</f>
        <v/>
      </c>
      <c r="F475" s="115" t="s">
        <v>33</v>
      </c>
      <c r="G475" s="116" t="s">
        <v>37</v>
      </c>
      <c r="H475" s="117" t="s">
        <v>35</v>
      </c>
      <c r="I475" s="118" t="s">
        <v>28</v>
      </c>
      <c r="J475" s="119" t="s">
        <v>26</v>
      </c>
      <c r="K475" s="229"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tr">
        <f t="shared" ref="D476:D509" si="25">IF(AND(B476&lt;&gt;"",C476&lt;&gt;""),"N/T","")</f>
        <v>N/T</v>
      </c>
      <c r="E476" s="107" t="str">
        <f t="shared" si="24"/>
        <v/>
      </c>
      <c r="F476" s="120" t="n">
        <f ca="1">COUNTIF($D475:INDIRECT("$D" &amp;  SUM(ROW()-1,'03.Muestra'!$D$45)-1),F475)</f>
        <v>33.0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30"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tr">
        <f t="shared" si="25"/>
        <v>N/T</v>
      </c>
      <c r="E477" s="107" t="str">
        <f t="shared" si="24"/>
        <v/>
      </c>
      <c r="K477" s="228"/>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tr">
        <f t="shared" si="25"/>
        <v>N/T</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tr">
        <f t="shared" si="25"/>
        <v>N/T</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tr">
        <f t="shared" si="25"/>
        <v>N/T</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tr">
        <f t="shared" si="25"/>
        <v>N/T</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tr">
        <f t="shared" si="25"/>
        <v>N/T</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tr">
        <f t="shared" si="25"/>
        <v>N/T</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tr">
        <f t="shared" si="25"/>
        <v>N/T</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tr">
        <f t="shared" si="25"/>
        <v>N/T</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tr">
        <f t="shared" si="25"/>
        <v>N/T</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tr">
        <f t="shared" si="25"/>
        <v>N/T</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tr">
        <f t="shared" si="25"/>
        <v>N/T</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tr">
        <f t="shared" si="25"/>
        <v>N/T</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tr">
        <f t="shared" si="25"/>
        <v>N/T</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tr">
        <f t="shared" si="25"/>
        <v>N/T</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tr">
        <f t="shared" si="25"/>
        <v>N/T</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tr">
        <f t="shared" si="25"/>
        <v>N/T</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tr">
        <f t="shared" si="25"/>
        <v>N/T</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tr">
        <f t="shared" si="25"/>
        <v>N/T</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tr">
        <f t="shared" si="25"/>
        <v>N/T</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tr">
        <f t="shared" si="25"/>
        <v>N/T</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tr">
        <f t="shared" si="25"/>
        <v>N/T</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tr">
        <f t="shared" si="25"/>
        <v>N/T</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tr">
        <f t="shared" si="25"/>
        <v>N/T</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tr">
        <f t="shared" si="25"/>
        <v>N/T</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tr">
        <f t="shared" si="25"/>
        <v>N/T</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tr">
        <f t="shared" si="25"/>
        <v>N/T</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tr">
        <f t="shared" si="25"/>
        <v>N/T</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tr">
        <f t="shared" si="25"/>
        <v>N/T</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tr">
        <f t="shared" si="25"/>
        <v>N/T</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tr">
        <f t="shared" si="25"/>
        <v>N/T</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268</v>
      </c>
      <c r="B512" s="24" t="s">
        <v>90</v>
      </c>
      <c r="C512" s="25" t="s">
        <v>315</v>
      </c>
      <c r="D512" s="26" t="s">
        <v>32</v>
      </c>
      <c r="E512" s="123"/>
      <c r="K512" s="228"/>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9"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33.0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30"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K515" s="228"/>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268</v>
      </c>
      <c r="B550" s="24" t="s">
        <v>90</v>
      </c>
      <c r="C550" s="25" t="s">
        <v>369</v>
      </c>
      <c r="D550" s="26" t="s">
        <v>32</v>
      </c>
      <c r="E550" s="123"/>
      <c r="K550" s="228"/>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9"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33.0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30"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268</v>
      </c>
      <c r="B588" s="24" t="s">
        <v>90</v>
      </c>
      <c r="C588" s="25" t="s">
        <v>370</v>
      </c>
      <c r="D588" s="26" t="s">
        <v>32</v>
      </c>
      <c r="E588" s="123"/>
      <c r="K588" s="228"/>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tr">
        <f>IF(AND(B589&lt;&gt;"",C589&lt;&gt;""),"N/T","")</f>
        <v>N/T</v>
      </c>
      <c r="E589" s="107" t="str">
        <f t="shared" ref="E589:E623" si="30">IF(D589&lt;&gt;"",IF(AND(B589&lt;&gt;"",C589&lt;&gt;""),"","ERR"),"")</f>
        <v/>
      </c>
      <c r="F589" s="115" t="s">
        <v>33</v>
      </c>
      <c r="G589" s="116" t="s">
        <v>37</v>
      </c>
      <c r="H589" s="117" t="s">
        <v>35</v>
      </c>
      <c r="I589" s="118" t="s">
        <v>28</v>
      </c>
      <c r="J589" s="119" t="s">
        <v>26</v>
      </c>
      <c r="K589" s="229"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tr">
        <f t="shared" ref="D590:D623" si="31">IF(AND(B590&lt;&gt;"",C590&lt;&gt;""),"N/T","")</f>
        <v>N/T</v>
      </c>
      <c r="E590" s="107" t="str">
        <f t="shared" si="30"/>
        <v/>
      </c>
      <c r="F590" s="120" t="n">
        <f ca="1">COUNTIF($D589:INDIRECT("$D" &amp;  SUM(ROW()-1,'03.Muestra'!$D$45)-1),F589)</f>
        <v>33.0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30"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tr">
        <f t="shared" si="31"/>
        <v>N/T</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tr">
        <f t="shared" si="31"/>
        <v>N/T</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tr">
        <f t="shared" si="31"/>
        <v>N/T</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tr">
        <f t="shared" si="31"/>
        <v>N/T</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tr">
        <f t="shared" si="31"/>
        <v>N/T</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tr">
        <f t="shared" si="31"/>
        <v>N/T</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tr">
        <f t="shared" si="31"/>
        <v>N/T</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tr">
        <f t="shared" si="31"/>
        <v>N/T</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tr">
        <f t="shared" si="31"/>
        <v>N/T</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tr">
        <f t="shared" si="31"/>
        <v>N/T</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tr">
        <f t="shared" si="31"/>
        <v>N/T</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tr">
        <f t="shared" si="31"/>
        <v>N/T</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tr">
        <f t="shared" si="31"/>
        <v>N/T</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tr">
        <f t="shared" si="31"/>
        <v>N/T</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tr">
        <f t="shared" si="31"/>
        <v>N/T</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tr">
        <f t="shared" si="31"/>
        <v>N/T</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tr">
        <f t="shared" si="31"/>
        <v>N/T</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tr">
        <f t="shared" si="31"/>
        <v>N/T</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tr">
        <f t="shared" si="31"/>
        <v>N/T</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tr">
        <f t="shared" si="31"/>
        <v>N/T</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tr">
        <f t="shared" si="31"/>
        <v>N/T</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tr">
        <f t="shared" si="31"/>
        <v>N/T</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tr">
        <f t="shared" si="31"/>
        <v>N/T</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tr">
        <f t="shared" si="31"/>
        <v>N/T</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tr">
        <f t="shared" si="31"/>
        <v>N/T</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tr">
        <f t="shared" si="31"/>
        <v>N/T</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tr">
        <f t="shared" si="31"/>
        <v>N/T</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tr">
        <f t="shared" si="31"/>
        <v>N/T</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tr">
        <f t="shared" si="31"/>
        <v>N/T</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tr">
        <f t="shared" si="31"/>
        <v>N/T</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tr">
        <f t="shared" si="31"/>
        <v>N/T</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268</v>
      </c>
      <c r="B626" s="24" t="s">
        <v>90</v>
      </c>
      <c r="C626" s="25" t="s">
        <v>316</v>
      </c>
      <c r="D626" s="26" t="s">
        <v>32</v>
      </c>
      <c r="E626" s="123"/>
      <c r="K626" s="228"/>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9"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33.0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30"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268</v>
      </c>
      <c r="B664" s="24" t="s">
        <v>90</v>
      </c>
      <c r="C664" s="217" t="s">
        <v>317</v>
      </c>
      <c r="D664" s="26" t="s">
        <v>32</v>
      </c>
      <c r="E664" s="123"/>
      <c r="K664" s="228"/>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tr">
        <f>IF(AND(B665&lt;&gt;"",C665&lt;&gt;""),"N/T","")</f>
        <v>N/T</v>
      </c>
      <c r="E665" s="107" t="str">
        <f t="shared" ref="E665:E699" si="34">IF(D665&lt;&gt;"",IF(AND(B665&lt;&gt;"",C665&lt;&gt;""),"","ERR"),"")</f>
        <v/>
      </c>
      <c r="F665" s="115" t="s">
        <v>33</v>
      </c>
      <c r="G665" s="116" t="s">
        <v>37</v>
      </c>
      <c r="H665" s="117" t="s">
        <v>35</v>
      </c>
      <c r="I665" s="118" t="s">
        <v>28</v>
      </c>
      <c r="J665" s="119" t="s">
        <v>26</v>
      </c>
      <c r="K665" s="229"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tr">
        <f t="shared" ref="D666:D699" si="35">IF(AND(B666&lt;&gt;"",C666&lt;&gt;""),"N/T","")</f>
        <v>N/T</v>
      </c>
      <c r="E666" s="107" t="str">
        <f t="shared" si="34"/>
        <v/>
      </c>
      <c r="F666" s="120" t="n">
        <f ca="1">COUNTIF($D665:INDIRECT("$D" &amp;  SUM(ROW()-1,'03.Muestra'!$D$45)-1),F665)</f>
        <v>33.0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30"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tr">
        <f t="shared" si="35"/>
        <v>N/T</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tr">
        <f t="shared" si="35"/>
        <v>N/T</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tr">
        <f t="shared" si="35"/>
        <v>N/T</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tr">
        <f t="shared" si="35"/>
        <v>N/T</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tr">
        <f t="shared" si="35"/>
        <v>N/T</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tr">
        <f t="shared" si="35"/>
        <v>N/T</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tr">
        <f t="shared" si="35"/>
        <v>N/T</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tr">
        <f t="shared" si="35"/>
        <v>N/T</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tr">
        <f t="shared" si="35"/>
        <v>N/T</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tr">
        <f t="shared" si="35"/>
        <v>N/T</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tr">
        <f t="shared" si="35"/>
        <v>N/T</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tr">
        <f t="shared" si="35"/>
        <v>N/T</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tr">
        <f t="shared" si="35"/>
        <v>N/T</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tr">
        <f t="shared" si="35"/>
        <v>N/T</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tr">
        <f t="shared" si="35"/>
        <v>N/T</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tr">
        <f t="shared" si="35"/>
        <v>N/T</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tr">
        <f t="shared" si="35"/>
        <v>N/T</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tr">
        <f t="shared" si="35"/>
        <v>N/T</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tr">
        <f t="shared" si="35"/>
        <v>N/T</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tr">
        <f t="shared" si="35"/>
        <v>N/T</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tr">
        <f t="shared" si="35"/>
        <v>N/T</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tr">
        <f t="shared" si="35"/>
        <v>N/T</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tr">
        <f t="shared" si="35"/>
        <v>N/T</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tr">
        <f t="shared" si="35"/>
        <v>N/T</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tr">
        <f t="shared" si="35"/>
        <v>N/T</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tr">
        <f t="shared" si="35"/>
        <v>N/T</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tr">
        <f t="shared" si="35"/>
        <v>N/T</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tr">
        <f t="shared" si="35"/>
        <v>N/T</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tr">
        <f t="shared" si="35"/>
        <v>N/T</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tr">
        <f t="shared" si="35"/>
        <v>N/T</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tr">
        <f t="shared" si="35"/>
        <v>N/T</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268</v>
      </c>
      <c r="B702" s="24" t="s">
        <v>90</v>
      </c>
      <c r="C702" s="217" t="s">
        <v>371</v>
      </c>
      <c r="D702" s="26" t="s">
        <v>32</v>
      </c>
      <c r="E702" s="123"/>
      <c r="K702" s="228"/>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9"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33.0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30"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CalcPr fullCalcOnLoad="true"/>
  <sheetProtection password="DC4E" sheet="true" scenarios="true" objects="true"/>
  <mergeCells count="2">
    <mergeCell ref="B11:C11"/>
    <mergeCell ref="B9:M9"/>
  </mergeCells>
  <conditionalFormatting sqref="E57:E92 E437:E471 E475:E509 E551:E585 E589:E623 E19:E53">
    <cfRule type="cellIs" dxfId="1167" priority="350" stopIfTrue="1" operator="equal">
      <formula>"ERR"</formula>
    </cfRule>
  </conditionalFormatting>
  <conditionalFormatting sqref="D19:D53 D57:D92 D437:D471 D475:D509 D551:D585 D589:D623 F19:J19 F57:J57 F437:J437 F475:J475 F551:J551 F589:J589 F95:J95 F133:J133 F171:J171 F209:J209 F247:J247 F285:J285 F323:J323 F361:J361 F399:J399 F513:J513 F627:J627 F665:J665 F703:J703">
    <cfRule type="expression" dxfId="1166" priority="344" stopIfTrue="1">
      <formula>ISBLANK(D19)</formula>
    </cfRule>
    <cfRule type="cellIs" dxfId="1165" priority="345" stopIfTrue="1" operator="equal">
      <formula>"Pasa"</formula>
    </cfRule>
    <cfRule type="cellIs" dxfId="1164" priority="346" stopIfTrue="1" operator="equal">
      <formula>"Falla"</formula>
    </cfRule>
    <cfRule type="cellIs" dxfId="1163" priority="347" stopIfTrue="1" operator="equal">
      <formula>"N/A"</formula>
    </cfRule>
    <cfRule type="cellIs" dxfId="1162" priority="348" stopIfTrue="1" operator="equal">
      <formula>"N/T"</formula>
    </cfRule>
    <cfRule type="cellIs" dxfId="1161" priority="349" stopIfTrue="1" operator="equal">
      <formula>"N/D"</formula>
    </cfRule>
  </conditionalFormatting>
  <conditionalFormatting sqref="D1:D8 D739:D1048576 D10:D93 D435:D510 D549:D624">
    <cfRule type="cellIs" dxfId="1160" priority="229" stopIfTrue="1" operator="equal">
      <formula>"-"</formula>
    </cfRule>
  </conditionalFormatting>
  <conditionalFormatting sqref="E95:E130">
    <cfRule type="cellIs" dxfId="1159" priority="228" stopIfTrue="1" operator="equal">
      <formula>"ERR"</formula>
    </cfRule>
  </conditionalFormatting>
  <conditionalFormatting sqref="D95:D130">
    <cfRule type="expression" dxfId="1158" priority="222" stopIfTrue="1">
      <formula>ISBLANK(D95)</formula>
    </cfRule>
    <cfRule type="cellIs" dxfId="1157" priority="223" stopIfTrue="1" operator="equal">
      <formula>"Pasa"</formula>
    </cfRule>
    <cfRule type="cellIs" dxfId="1156" priority="224" stopIfTrue="1" operator="equal">
      <formula>"Falla"</formula>
    </cfRule>
    <cfRule type="cellIs" dxfId="1155" priority="225" stopIfTrue="1" operator="equal">
      <formula>"N/A"</formula>
    </cfRule>
    <cfRule type="cellIs" dxfId="1154" priority="226" stopIfTrue="1" operator="equal">
      <formula>"N/T"</formula>
    </cfRule>
    <cfRule type="cellIs" dxfId="1153" priority="227" stopIfTrue="1" operator="equal">
      <formula>"N/D"</formula>
    </cfRule>
  </conditionalFormatting>
  <conditionalFormatting sqref="D94:D131">
    <cfRule type="cellIs" dxfId="1152" priority="215" stopIfTrue="1" operator="equal">
      <formula>"-"</formula>
    </cfRule>
  </conditionalFormatting>
  <conditionalFormatting sqref="E133:E168">
    <cfRule type="cellIs" dxfId="1151" priority="214" stopIfTrue="1" operator="equal">
      <formula>"ERR"</formula>
    </cfRule>
  </conditionalFormatting>
  <conditionalFormatting sqref="D133:D168">
    <cfRule type="expression" dxfId="1150" priority="208" stopIfTrue="1">
      <formula>ISBLANK(D133)</formula>
    </cfRule>
    <cfRule type="cellIs" dxfId="1149" priority="209" stopIfTrue="1" operator="equal">
      <formula>"Pasa"</formula>
    </cfRule>
    <cfRule type="cellIs" dxfId="1148" priority="210" stopIfTrue="1" operator="equal">
      <formula>"Falla"</formula>
    </cfRule>
    <cfRule type="cellIs" dxfId="1147" priority="211" stopIfTrue="1" operator="equal">
      <formula>"N/A"</formula>
    </cfRule>
    <cfRule type="cellIs" dxfId="1146" priority="212" stopIfTrue="1" operator="equal">
      <formula>"N/T"</formula>
    </cfRule>
    <cfRule type="cellIs" dxfId="1145" priority="213" stopIfTrue="1" operator="equal">
      <formula>"N/D"</formula>
    </cfRule>
  </conditionalFormatting>
  <conditionalFormatting sqref="D132:D169">
    <cfRule type="cellIs" dxfId="1144" priority="201" stopIfTrue="1" operator="equal">
      <formula>"-"</formula>
    </cfRule>
  </conditionalFormatting>
  <conditionalFormatting sqref="E171:E205">
    <cfRule type="cellIs" dxfId="1143" priority="200" stopIfTrue="1" operator="equal">
      <formula>"ERR"</formula>
    </cfRule>
  </conditionalFormatting>
  <conditionalFormatting sqref="D171:D205">
    <cfRule type="expression" dxfId="1142" priority="194" stopIfTrue="1">
      <formula>ISBLANK(D171)</formula>
    </cfRule>
    <cfRule type="cellIs" dxfId="1141" priority="195" stopIfTrue="1" operator="equal">
      <formula>"Pasa"</formula>
    </cfRule>
    <cfRule type="cellIs" dxfId="1140" priority="196" stopIfTrue="1" operator="equal">
      <formula>"Falla"</formula>
    </cfRule>
    <cfRule type="cellIs" dxfId="1139" priority="197" stopIfTrue="1" operator="equal">
      <formula>"N/A"</formula>
    </cfRule>
    <cfRule type="cellIs" dxfId="1138" priority="198" stopIfTrue="1" operator="equal">
      <formula>"N/T"</formula>
    </cfRule>
    <cfRule type="cellIs" dxfId="1137" priority="199" stopIfTrue="1" operator="equal">
      <formula>"N/D"</formula>
    </cfRule>
  </conditionalFormatting>
  <conditionalFormatting sqref="D170:D206">
    <cfRule type="cellIs" dxfId="1136" priority="187" stopIfTrue="1" operator="equal">
      <formula>"-"</formula>
    </cfRule>
  </conditionalFormatting>
  <conditionalFormatting sqref="D207">
    <cfRule type="cellIs" dxfId="1135" priority="186" stopIfTrue="1" operator="equal">
      <formula>"-"</formula>
    </cfRule>
  </conditionalFormatting>
  <conditionalFormatting sqref="E209:E243">
    <cfRule type="cellIs" dxfId="1134" priority="185" stopIfTrue="1" operator="equal">
      <formula>"ERR"</formula>
    </cfRule>
  </conditionalFormatting>
  <conditionalFormatting sqref="D209:D243">
    <cfRule type="expression" dxfId="1133" priority="179" stopIfTrue="1">
      <formula>ISBLANK(D209)</formula>
    </cfRule>
    <cfRule type="cellIs" dxfId="1132" priority="180" stopIfTrue="1" operator="equal">
      <formula>"Pasa"</formula>
    </cfRule>
    <cfRule type="cellIs" dxfId="1131" priority="181" stopIfTrue="1" operator="equal">
      <formula>"Falla"</formula>
    </cfRule>
    <cfRule type="cellIs" dxfId="1130" priority="182" stopIfTrue="1" operator="equal">
      <formula>"N/A"</formula>
    </cfRule>
    <cfRule type="cellIs" dxfId="1129" priority="183" stopIfTrue="1" operator="equal">
      <formula>"N/T"</formula>
    </cfRule>
    <cfRule type="cellIs" dxfId="1128" priority="184" stopIfTrue="1" operator="equal">
      <formula>"N/D"</formula>
    </cfRule>
  </conditionalFormatting>
  <conditionalFormatting sqref="D208:D244">
    <cfRule type="cellIs" dxfId="1127" priority="172" stopIfTrue="1" operator="equal">
      <formula>"-"</formula>
    </cfRule>
  </conditionalFormatting>
  <conditionalFormatting sqref="D245">
    <cfRule type="cellIs" dxfId="1126" priority="171" stopIfTrue="1" operator="equal">
      <formula>"-"</formula>
    </cfRule>
  </conditionalFormatting>
  <conditionalFormatting sqref="E247:E281">
    <cfRule type="cellIs" dxfId="1125" priority="170" stopIfTrue="1" operator="equal">
      <formula>"ERR"</formula>
    </cfRule>
  </conditionalFormatting>
  <conditionalFormatting sqref="D247:D281">
    <cfRule type="expression" dxfId="1124" priority="164" stopIfTrue="1">
      <formula>ISBLANK(D247)</formula>
    </cfRule>
    <cfRule type="cellIs" dxfId="1123" priority="165" stopIfTrue="1" operator="equal">
      <formula>"Pasa"</formula>
    </cfRule>
    <cfRule type="cellIs" dxfId="1122" priority="166" stopIfTrue="1" operator="equal">
      <formula>"Falla"</formula>
    </cfRule>
    <cfRule type="cellIs" dxfId="1121" priority="167" stopIfTrue="1" operator="equal">
      <formula>"N/A"</formula>
    </cfRule>
    <cfRule type="cellIs" dxfId="1120" priority="168" stopIfTrue="1" operator="equal">
      <formula>"N/T"</formula>
    </cfRule>
    <cfRule type="cellIs" dxfId="1119" priority="169" stopIfTrue="1" operator="equal">
      <formula>"N/D"</formula>
    </cfRule>
  </conditionalFormatting>
  <conditionalFormatting sqref="D246:D282">
    <cfRule type="cellIs" dxfId="1118" priority="157" stopIfTrue="1" operator="equal">
      <formula>"-"</formula>
    </cfRule>
  </conditionalFormatting>
  <conditionalFormatting sqref="D283">
    <cfRule type="cellIs" dxfId="1117" priority="156" stopIfTrue="1" operator="equal">
      <formula>"-"</formula>
    </cfRule>
  </conditionalFormatting>
  <conditionalFormatting sqref="E285:E319">
    <cfRule type="cellIs" dxfId="1116" priority="155" stopIfTrue="1" operator="equal">
      <formula>"ERR"</formula>
    </cfRule>
  </conditionalFormatting>
  <conditionalFormatting sqref="D285:D319">
    <cfRule type="expression" dxfId="1115" priority="149" stopIfTrue="1">
      <formula>ISBLANK(D285)</formula>
    </cfRule>
    <cfRule type="cellIs" dxfId="1114" priority="150" stopIfTrue="1" operator="equal">
      <formula>"Pasa"</formula>
    </cfRule>
    <cfRule type="cellIs" dxfId="1113" priority="151" stopIfTrue="1" operator="equal">
      <formula>"Falla"</formula>
    </cfRule>
    <cfRule type="cellIs" dxfId="1112" priority="152" stopIfTrue="1" operator="equal">
      <formula>"N/A"</formula>
    </cfRule>
    <cfRule type="cellIs" dxfId="1111" priority="153" stopIfTrue="1" operator="equal">
      <formula>"N/T"</formula>
    </cfRule>
    <cfRule type="cellIs" dxfId="1110" priority="154" stopIfTrue="1" operator="equal">
      <formula>"N/D"</formula>
    </cfRule>
  </conditionalFormatting>
  <conditionalFormatting sqref="D284:D320">
    <cfRule type="cellIs" dxfId="1109" priority="142" stopIfTrue="1" operator="equal">
      <formula>"-"</formula>
    </cfRule>
  </conditionalFormatting>
  <conditionalFormatting sqref="D321">
    <cfRule type="cellIs" dxfId="1108" priority="141" stopIfTrue="1" operator="equal">
      <formula>"-"</formula>
    </cfRule>
  </conditionalFormatting>
  <conditionalFormatting sqref="E323:E357">
    <cfRule type="cellIs" dxfId="1107" priority="140" stopIfTrue="1" operator="equal">
      <formula>"ERR"</formula>
    </cfRule>
  </conditionalFormatting>
  <conditionalFormatting sqref="D323:D357">
    <cfRule type="expression" dxfId="1106" priority="134" stopIfTrue="1">
      <formula>ISBLANK(D323)</formula>
    </cfRule>
    <cfRule type="cellIs" dxfId="1105" priority="135" stopIfTrue="1" operator="equal">
      <formula>"Pasa"</formula>
    </cfRule>
    <cfRule type="cellIs" dxfId="1104" priority="136" stopIfTrue="1" operator="equal">
      <formula>"Falla"</formula>
    </cfRule>
    <cfRule type="cellIs" dxfId="1103" priority="137" stopIfTrue="1" operator="equal">
      <formula>"N/A"</formula>
    </cfRule>
    <cfRule type="cellIs" dxfId="1102" priority="138" stopIfTrue="1" operator="equal">
      <formula>"N/T"</formula>
    </cfRule>
    <cfRule type="cellIs" dxfId="1101" priority="139" stopIfTrue="1" operator="equal">
      <formula>"N/D"</formula>
    </cfRule>
  </conditionalFormatting>
  <conditionalFormatting sqref="D322:D358">
    <cfRule type="cellIs" dxfId="1100" priority="127" stopIfTrue="1" operator="equal">
      <formula>"-"</formula>
    </cfRule>
  </conditionalFormatting>
  <conditionalFormatting sqref="D359">
    <cfRule type="cellIs" dxfId="1099" priority="126" stopIfTrue="1" operator="equal">
      <formula>"-"</formula>
    </cfRule>
  </conditionalFormatting>
  <conditionalFormatting sqref="E361:E395">
    <cfRule type="cellIs" dxfId="1098" priority="125" stopIfTrue="1" operator="equal">
      <formula>"ERR"</formula>
    </cfRule>
  </conditionalFormatting>
  <conditionalFormatting sqref="D361:D395">
    <cfRule type="expression" dxfId="1097" priority="119" stopIfTrue="1">
      <formula>ISBLANK(D361)</formula>
    </cfRule>
    <cfRule type="cellIs" dxfId="1096" priority="120" stopIfTrue="1" operator="equal">
      <formula>"Pasa"</formula>
    </cfRule>
    <cfRule type="cellIs" dxfId="1095" priority="121" stopIfTrue="1" operator="equal">
      <formula>"Falla"</formula>
    </cfRule>
    <cfRule type="cellIs" dxfId="1094" priority="122" stopIfTrue="1" operator="equal">
      <formula>"N/A"</formula>
    </cfRule>
    <cfRule type="cellIs" dxfId="1093" priority="123" stopIfTrue="1" operator="equal">
      <formula>"N/T"</formula>
    </cfRule>
    <cfRule type="cellIs" dxfId="1092" priority="124" stopIfTrue="1" operator="equal">
      <formula>"N/D"</formula>
    </cfRule>
  </conditionalFormatting>
  <conditionalFormatting sqref="D360:D396">
    <cfRule type="cellIs" dxfId="1091" priority="112" stopIfTrue="1" operator="equal">
      <formula>"-"</formula>
    </cfRule>
  </conditionalFormatting>
  <conditionalFormatting sqref="D397">
    <cfRule type="cellIs" dxfId="1090" priority="111" stopIfTrue="1" operator="equal">
      <formula>"-"</formula>
    </cfRule>
  </conditionalFormatting>
  <conditionalFormatting sqref="E399:E433">
    <cfRule type="cellIs" dxfId="1089" priority="110" stopIfTrue="1" operator="equal">
      <formula>"ERR"</formula>
    </cfRule>
  </conditionalFormatting>
  <conditionalFormatting sqref="D399:D433">
    <cfRule type="expression" dxfId="1088" priority="104" stopIfTrue="1">
      <formula>ISBLANK(D399)</formula>
    </cfRule>
    <cfRule type="cellIs" dxfId="1087" priority="105" stopIfTrue="1" operator="equal">
      <formula>"Pasa"</formula>
    </cfRule>
    <cfRule type="cellIs" dxfId="1086" priority="106" stopIfTrue="1" operator="equal">
      <formula>"Falla"</formula>
    </cfRule>
    <cfRule type="cellIs" dxfId="1085" priority="107" stopIfTrue="1" operator="equal">
      <formula>"N/A"</formula>
    </cfRule>
    <cfRule type="cellIs" dxfId="1084" priority="108" stopIfTrue="1" operator="equal">
      <formula>"N/T"</formula>
    </cfRule>
    <cfRule type="cellIs" dxfId="1083" priority="109" stopIfTrue="1" operator="equal">
      <formula>"N/D"</formula>
    </cfRule>
  </conditionalFormatting>
  <conditionalFormatting sqref="D398:D434">
    <cfRule type="cellIs" dxfId="1082" priority="97" stopIfTrue="1" operator="equal">
      <formula>"-"</formula>
    </cfRule>
  </conditionalFormatting>
  <conditionalFormatting sqref="E513:E547">
    <cfRule type="cellIs" dxfId="1081" priority="96" stopIfTrue="1" operator="equal">
      <formula>"ERR"</formula>
    </cfRule>
  </conditionalFormatting>
  <conditionalFormatting sqref="D513:D547">
    <cfRule type="expression" dxfId="1080" priority="90" stopIfTrue="1">
      <formula>ISBLANK(D513)</formula>
    </cfRule>
    <cfRule type="cellIs" dxfId="1079" priority="91" stopIfTrue="1" operator="equal">
      <formula>"Pasa"</formula>
    </cfRule>
    <cfRule type="cellIs" dxfId="1078" priority="92" stopIfTrue="1" operator="equal">
      <formula>"Falla"</formula>
    </cfRule>
    <cfRule type="cellIs" dxfId="1077" priority="93" stopIfTrue="1" operator="equal">
      <formula>"N/A"</formula>
    </cfRule>
    <cfRule type="cellIs" dxfId="1076" priority="94" stopIfTrue="1" operator="equal">
      <formula>"N/T"</formula>
    </cfRule>
    <cfRule type="cellIs" dxfId="1075" priority="95" stopIfTrue="1" operator="equal">
      <formula>"N/D"</formula>
    </cfRule>
  </conditionalFormatting>
  <conditionalFormatting sqref="D511:D548">
    <cfRule type="cellIs" dxfId="1074" priority="83" stopIfTrue="1" operator="equal">
      <formula>"-"</formula>
    </cfRule>
  </conditionalFormatting>
  <conditionalFormatting sqref="E627:E661">
    <cfRule type="cellIs" dxfId="1073" priority="54" stopIfTrue="1" operator="equal">
      <formula>"ERR"</formula>
    </cfRule>
  </conditionalFormatting>
  <conditionalFormatting sqref="D627:D661">
    <cfRule type="expression" dxfId="1072" priority="48" stopIfTrue="1">
      <formula>ISBLANK(D627)</formula>
    </cfRule>
    <cfRule type="cellIs" dxfId="1071" priority="49" stopIfTrue="1" operator="equal">
      <formula>"Pasa"</formula>
    </cfRule>
    <cfRule type="cellIs" dxfId="1070" priority="50" stopIfTrue="1" operator="equal">
      <formula>"Falla"</formula>
    </cfRule>
    <cfRule type="cellIs" dxfId="1069" priority="51" stopIfTrue="1" operator="equal">
      <formula>"N/A"</formula>
    </cfRule>
    <cfRule type="cellIs" dxfId="1068" priority="52" stopIfTrue="1" operator="equal">
      <formula>"N/T"</formula>
    </cfRule>
    <cfRule type="cellIs" dxfId="1067" priority="53" stopIfTrue="1" operator="equal">
      <formula>"N/D"</formula>
    </cfRule>
  </conditionalFormatting>
  <conditionalFormatting sqref="D625:D662">
    <cfRule type="cellIs" dxfId="1066" priority="41" stopIfTrue="1" operator="equal">
      <formula>"-"</formula>
    </cfRule>
  </conditionalFormatting>
  <conditionalFormatting sqref="E665:E699">
    <cfRule type="cellIs" dxfId="1065" priority="40" stopIfTrue="1" operator="equal">
      <formula>"ERR"</formula>
    </cfRule>
  </conditionalFormatting>
  <conditionalFormatting sqref="D665:D699">
    <cfRule type="expression" dxfId="1064" priority="34" stopIfTrue="1">
      <formula>ISBLANK(D665)</formula>
    </cfRule>
    <cfRule type="cellIs" dxfId="1063" priority="35" stopIfTrue="1" operator="equal">
      <formula>"Pasa"</formula>
    </cfRule>
    <cfRule type="cellIs" dxfId="1062" priority="36" stopIfTrue="1" operator="equal">
      <formula>"Falla"</formula>
    </cfRule>
    <cfRule type="cellIs" dxfId="1061" priority="37" stopIfTrue="1" operator="equal">
      <formula>"N/A"</formula>
    </cfRule>
    <cfRule type="cellIs" dxfId="1060" priority="38" stopIfTrue="1" operator="equal">
      <formula>"N/T"</formula>
    </cfRule>
    <cfRule type="cellIs" dxfId="1059" priority="39" stopIfTrue="1" operator="equal">
      <formula>"N/D"</formula>
    </cfRule>
  </conditionalFormatting>
  <conditionalFormatting sqref="D663:D700">
    <cfRule type="cellIs" dxfId="1058" priority="27" stopIfTrue="1" operator="equal">
      <formula>"-"</formula>
    </cfRule>
  </conditionalFormatting>
  <conditionalFormatting sqref="E703:E737">
    <cfRule type="cellIs" dxfId="1057" priority="26" stopIfTrue="1" operator="equal">
      <formula>"ERR"</formula>
    </cfRule>
  </conditionalFormatting>
  <conditionalFormatting sqref="D703:D737">
    <cfRule type="expression" dxfId="1056" priority="20" stopIfTrue="1">
      <formula>ISBLANK(D703)</formula>
    </cfRule>
    <cfRule type="cellIs" dxfId="1055" priority="21" stopIfTrue="1" operator="equal">
      <formula>"Pasa"</formula>
    </cfRule>
    <cfRule type="cellIs" dxfId="1054" priority="22" stopIfTrue="1" operator="equal">
      <formula>"Falla"</formula>
    </cfRule>
    <cfRule type="cellIs" dxfId="1053" priority="23" stopIfTrue="1" operator="equal">
      <formula>"N/A"</formula>
    </cfRule>
    <cfRule type="cellIs" dxfId="1052" priority="24" stopIfTrue="1" operator="equal">
      <formula>"N/T"</formula>
    </cfRule>
    <cfRule type="cellIs" dxfId="1051" priority="25" stopIfTrue="1" operator="equal">
      <formula>"N/D"</formula>
    </cfRule>
  </conditionalFormatting>
  <conditionalFormatting sqref="D701:D738">
    <cfRule type="cellIs" dxfId="1050" priority="13" stopIfTrue="1" operator="equal">
      <formula>"-"</formula>
    </cfRule>
  </conditionalFormatting>
  <conditionalFormatting sqref="K23">
    <cfRule type="expression" dxfId="1049" priority="7" stopIfTrue="1">
      <formula>ISBLANK(K23)</formula>
    </cfRule>
    <cfRule type="cellIs" dxfId="1048" priority="8" stopIfTrue="1" operator="equal">
      <formula>"Pasa"</formula>
    </cfRule>
    <cfRule type="cellIs" dxfId="1047" priority="9" stopIfTrue="1" operator="equal">
      <formula>"Falla"</formula>
    </cfRule>
    <cfRule type="cellIs" dxfId="1046" priority="10" stopIfTrue="1" operator="equal">
      <formula>"N/A"</formula>
    </cfRule>
    <cfRule type="cellIs" dxfId="1045" priority="11" stopIfTrue="1" operator="equal">
      <formula>"N/T"</formula>
    </cfRule>
    <cfRule type="cellIs" dxfId="1044" priority="12" stopIfTrue="1" operator="equal">
      <formula>"N/D"</formula>
    </cfRule>
  </conditionalFormatting>
  <conditionalFormatting sqref="K24">
    <cfRule type="expression" dxfId="1043" priority="1" stopIfTrue="1">
      <formula>ISBLANK(K24)</formula>
    </cfRule>
    <cfRule type="cellIs" dxfId="1042" priority="2" stopIfTrue="1" operator="equal">
      <formula>"Pasa"</formula>
    </cfRule>
    <cfRule type="cellIs" dxfId="1041" priority="3" stopIfTrue="1" operator="equal">
      <formula>"Falla"</formula>
    </cfRule>
    <cfRule type="cellIs" dxfId="1040" priority="4" stopIfTrue="1" operator="equal">
      <formula>"N/A"</formula>
    </cfRule>
    <cfRule type="cellIs" dxfId="1039" priority="5" stopIfTrue="1" operator="equal">
      <formula>"N/T"</formula>
    </cfRule>
    <cfRule type="cellIs" dxfId="10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L695"/>
  <sheetViews>
    <sheetView topLeftCell="D113" zoomScale="71" zoomScaleNormal="71"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319</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COUNTIF($B$18:$B$4076,B12)</f>
        <v>9.0</v>
      </c>
      <c r="D12" s="28"/>
      <c r="E12" s="14"/>
      <c r="F12" s="62" t="s">
        <v>26</v>
      </c>
      <c r="G12" s="61" t="n">
        <f ca="1">J20+J58+J96+J134+J172+J210+J248+J286+J324</f>
        <v>0.0</v>
      </c>
      <c r="H12" s="53" t="n">
        <f ca="1">IF(($G$15+$K$15)=0,0,G12/($G$15+$K$15))</f>
        <v>0.0</v>
      </c>
      <c r="I12" s="28"/>
      <c r="J12" s="60" t="s">
        <v>27</v>
      </c>
      <c r="K12" s="61" t="n">
        <f ca="1">G20+G58+G96+G134+G172+G210+G248+G286+G324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f>
        <v>0.0</v>
      </c>
      <c r="H13" s="53" t="n">
        <f ca="1">IF(($G$15+$K$15)=0,0,G13/($G$15+$K$15))</f>
        <v>0.0</v>
      </c>
      <c r="I13" s="28"/>
      <c r="J13" s="60" t="s">
        <v>29</v>
      </c>
      <c r="K13" s="61" t="n">
        <f ca="1">F20+F58+F96+F134+F172+F210+F248+F286+F324</f>
        <v>297.0</v>
      </c>
      <c r="L13" s="53" t="n">
        <f ca="1">IF(($G$15+$K$15)=0,0,K13/($G$15+$K$15))</f>
        <v>1.0</v>
      </c>
      <c r="M13" s="19"/>
      <c r="N13" s="19"/>
      <c r="O13" s="19"/>
      <c r="P13" s="19"/>
      <c r="Q13" s="19"/>
      <c r="R13" s="19"/>
      <c r="U13" s="19"/>
      <c r="V13" s="19"/>
      <c r="W13" s="19"/>
      <c r="X13" s="19"/>
      <c r="Y13" s="19"/>
    </row>
    <row r="14" spans="1:64" ht="12" customHeight="1" thickBot="1">
      <c r="B14" s="58" t="s">
        <v>30</v>
      </c>
      <c r="C14" s="59" t="n">
        <f>C12+C13</f>
        <v>9.0</v>
      </c>
      <c r="D14" s="28"/>
      <c r="E14" s="14"/>
      <c r="F14" s="62" t="s">
        <v>31</v>
      </c>
      <c r="G14" s="61" t="n">
        <f ca="1">H20+H58+H96+H134+H172+H210+H248+H286+H324</f>
        <v>0.0</v>
      </c>
      <c r="H14" s="53" t="n">
        <f ca="1">IF(($G$15+$K$15)=0,0,G14/($G$15+$K$15))</f>
        <v>0.0</v>
      </c>
      <c r="I14" s="28"/>
      <c r="J14" s="231" t="s">
        <v>474</v>
      </c>
      <c r="K14" s="232" t="n">
        <f ca="1">K20+K58+K96+K134+K172+K210+K248+K286+K324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297.0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255</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S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S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268</v>
      </c>
      <c r="B56" s="24" t="s">
        <v>90</v>
      </c>
      <c r="C56" s="25" t="s">
        <v>256</v>
      </c>
      <c r="D56" s="26" t="s">
        <v>32</v>
      </c>
      <c r="E56" s="123"/>
      <c r="K56" s="19"/>
      <c r="L56" s="19"/>
      <c r="M56" s="19"/>
      <c r="N56" s="19"/>
      <c r="O56" s="19"/>
      <c r="P56" s="19"/>
      <c r="Q56" s="19"/>
      <c r="R56" s="19"/>
      <c r="S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S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257</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17" t="s">
        <v>320</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17" t="s">
        <v>321</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258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259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260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261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33.0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CalcPr fullCalcOnLoad="true"/>
  <sheetProtection password="DC4E" sheet="true" scenarios="true" objects="true"/>
  <mergeCells count="2">
    <mergeCell ref="B11:C11"/>
    <mergeCell ref="B9:M9"/>
  </mergeCells>
  <conditionalFormatting sqref="E57:E91 E95:E129 E209:E243 E247:E281 E285:E319 E323:E357 E19:E53">
    <cfRule type="cellIs" dxfId="1037" priority="210" stopIfTrue="1" operator="equal">
      <formula>"ERR"</formula>
    </cfRule>
  </conditionalFormatting>
  <conditionalFormatting sqref="F19:J19 F57:J57 F95:J95 F209:J209 F247:J247 F285:J285 F323:J323 F133:J133 F171:J171">
    <cfRule type="expression" dxfId="1036" priority="204" stopIfTrue="1">
      <formula>ISBLANK(F19)</formula>
    </cfRule>
    <cfRule type="cellIs" dxfId="1035" priority="205" stopIfTrue="1" operator="equal">
      <formula>"Pasa"</formula>
    </cfRule>
    <cfRule type="cellIs" dxfId="1034" priority="206" stopIfTrue="1" operator="equal">
      <formula>"Falla"</formula>
    </cfRule>
    <cfRule type="cellIs" dxfId="1033" priority="207" stopIfTrue="1" operator="equal">
      <formula>"N/A"</formula>
    </cfRule>
    <cfRule type="cellIs" dxfId="1032" priority="208" stopIfTrue="1" operator="equal">
      <formula>"N/T"</formula>
    </cfRule>
    <cfRule type="cellIs" dxfId="1031" priority="209" stopIfTrue="1" operator="equal">
      <formula>"N/D"</formula>
    </cfRule>
  </conditionalFormatting>
  <conditionalFormatting sqref="D19:D53">
    <cfRule type="expression" dxfId="1030" priority="84" stopIfTrue="1">
      <formula>ISBLANK(D19)</formula>
    </cfRule>
    <cfRule type="cellIs" dxfId="1029" priority="85" stopIfTrue="1" operator="equal">
      <formula>"Pasa"</formula>
    </cfRule>
    <cfRule type="cellIs" dxfId="1028" priority="86" stopIfTrue="1" operator="equal">
      <formula>"Falla"</formula>
    </cfRule>
    <cfRule type="cellIs" dxfId="1027" priority="87" stopIfTrue="1" operator="equal">
      <formula>"N/A"</formula>
    </cfRule>
    <cfRule type="cellIs" dxfId="1026" priority="88" stopIfTrue="1" operator="equal">
      <formula>"N/T"</formula>
    </cfRule>
    <cfRule type="cellIs" dxfId="1025" priority="89" stopIfTrue="1" operator="equal">
      <formula>"N/D"</formula>
    </cfRule>
  </conditionalFormatting>
  <conditionalFormatting sqref="D19:D53">
    <cfRule type="cellIs" dxfId="1024" priority="83" stopIfTrue="1" operator="equal">
      <formula>"-"</formula>
    </cfRule>
  </conditionalFormatting>
  <conditionalFormatting sqref="D57:D91">
    <cfRule type="expression" dxfId="1023" priority="77" stopIfTrue="1">
      <formula>ISBLANK(D57)</formula>
    </cfRule>
    <cfRule type="cellIs" dxfId="1022" priority="78" stopIfTrue="1" operator="equal">
      <formula>"Pasa"</formula>
    </cfRule>
    <cfRule type="cellIs" dxfId="1021" priority="79" stopIfTrue="1" operator="equal">
      <formula>"Falla"</formula>
    </cfRule>
    <cfRule type="cellIs" dxfId="1020" priority="80" stopIfTrue="1" operator="equal">
      <formula>"N/A"</formula>
    </cfRule>
    <cfRule type="cellIs" dxfId="1019" priority="81" stopIfTrue="1" operator="equal">
      <formula>"N/T"</formula>
    </cfRule>
    <cfRule type="cellIs" dxfId="1018" priority="82" stopIfTrue="1" operator="equal">
      <formula>"N/D"</formula>
    </cfRule>
  </conditionalFormatting>
  <conditionalFormatting sqref="D57:D91">
    <cfRule type="cellIs" dxfId="1017" priority="76" stopIfTrue="1" operator="equal">
      <formula>"-"</formula>
    </cfRule>
  </conditionalFormatting>
  <conditionalFormatting sqref="D95:D129">
    <cfRule type="expression" dxfId="1016" priority="70" stopIfTrue="1">
      <formula>ISBLANK(D95)</formula>
    </cfRule>
    <cfRule type="cellIs" dxfId="1015" priority="71" stopIfTrue="1" operator="equal">
      <formula>"Pasa"</formula>
    </cfRule>
    <cfRule type="cellIs" dxfId="1014" priority="72" stopIfTrue="1" operator="equal">
      <formula>"Falla"</formula>
    </cfRule>
    <cfRule type="cellIs" dxfId="1013" priority="73" stopIfTrue="1" operator="equal">
      <formula>"N/A"</formula>
    </cfRule>
    <cfRule type="cellIs" dxfId="1012" priority="74" stopIfTrue="1" operator="equal">
      <formula>"N/T"</formula>
    </cfRule>
    <cfRule type="cellIs" dxfId="1011" priority="75" stopIfTrue="1" operator="equal">
      <formula>"N/D"</formula>
    </cfRule>
  </conditionalFormatting>
  <conditionalFormatting sqref="D95:D129">
    <cfRule type="cellIs" dxfId="1010" priority="69" stopIfTrue="1" operator="equal">
      <formula>"-"</formula>
    </cfRule>
  </conditionalFormatting>
  <conditionalFormatting sqref="D209:D243">
    <cfRule type="expression" dxfId="1009" priority="63" stopIfTrue="1">
      <formula>ISBLANK(D209)</formula>
    </cfRule>
    <cfRule type="cellIs" dxfId="1008" priority="64" stopIfTrue="1" operator="equal">
      <formula>"Pasa"</formula>
    </cfRule>
    <cfRule type="cellIs" dxfId="1007" priority="65" stopIfTrue="1" operator="equal">
      <formula>"Falla"</formula>
    </cfRule>
    <cfRule type="cellIs" dxfId="1006" priority="66" stopIfTrue="1" operator="equal">
      <formula>"N/A"</formula>
    </cfRule>
    <cfRule type="cellIs" dxfId="1005" priority="67" stopIfTrue="1" operator="equal">
      <formula>"N/T"</formula>
    </cfRule>
    <cfRule type="cellIs" dxfId="1004" priority="68" stopIfTrue="1" operator="equal">
      <formula>"N/D"</formula>
    </cfRule>
  </conditionalFormatting>
  <conditionalFormatting sqref="D209:D243">
    <cfRule type="cellIs" dxfId="1003" priority="62" stopIfTrue="1" operator="equal">
      <formula>"-"</formula>
    </cfRule>
  </conditionalFormatting>
  <conditionalFormatting sqref="D247:D281">
    <cfRule type="expression" dxfId="1002" priority="56" stopIfTrue="1">
      <formula>ISBLANK(D247)</formula>
    </cfRule>
    <cfRule type="cellIs" dxfId="1001" priority="57" stopIfTrue="1" operator="equal">
      <formula>"Pasa"</formula>
    </cfRule>
    <cfRule type="cellIs" dxfId="1000" priority="58" stopIfTrue="1" operator="equal">
      <formula>"Falla"</formula>
    </cfRule>
    <cfRule type="cellIs" dxfId="999" priority="59" stopIfTrue="1" operator="equal">
      <formula>"N/A"</formula>
    </cfRule>
    <cfRule type="cellIs" dxfId="998" priority="60" stopIfTrue="1" operator="equal">
      <formula>"N/T"</formula>
    </cfRule>
    <cfRule type="cellIs" dxfId="997" priority="61" stopIfTrue="1" operator="equal">
      <formula>"N/D"</formula>
    </cfRule>
  </conditionalFormatting>
  <conditionalFormatting sqref="D247:D281">
    <cfRule type="cellIs" dxfId="996" priority="55" stopIfTrue="1" operator="equal">
      <formula>"-"</formula>
    </cfRule>
  </conditionalFormatting>
  <conditionalFormatting sqref="D285:D319">
    <cfRule type="expression" dxfId="995" priority="49" stopIfTrue="1">
      <formula>ISBLANK(D285)</formula>
    </cfRule>
    <cfRule type="cellIs" dxfId="994" priority="50" stopIfTrue="1" operator="equal">
      <formula>"Pasa"</formula>
    </cfRule>
    <cfRule type="cellIs" dxfId="993" priority="51" stopIfTrue="1" operator="equal">
      <formula>"Falla"</formula>
    </cfRule>
    <cfRule type="cellIs" dxfId="992" priority="52" stopIfTrue="1" operator="equal">
      <formula>"N/A"</formula>
    </cfRule>
    <cfRule type="cellIs" dxfId="991" priority="53" stopIfTrue="1" operator="equal">
      <formula>"N/T"</formula>
    </cfRule>
    <cfRule type="cellIs" dxfId="990" priority="54" stopIfTrue="1" operator="equal">
      <formula>"N/D"</formula>
    </cfRule>
  </conditionalFormatting>
  <conditionalFormatting sqref="D285:D319">
    <cfRule type="cellIs" dxfId="989" priority="48" stopIfTrue="1" operator="equal">
      <formula>"-"</formula>
    </cfRule>
  </conditionalFormatting>
  <conditionalFormatting sqref="D323:D357">
    <cfRule type="expression" dxfId="988" priority="42" stopIfTrue="1">
      <formula>ISBLANK(D323)</formula>
    </cfRule>
    <cfRule type="cellIs" dxfId="987" priority="43" stopIfTrue="1" operator="equal">
      <formula>"Pasa"</formula>
    </cfRule>
    <cfRule type="cellIs" dxfId="986" priority="44" stopIfTrue="1" operator="equal">
      <formula>"Falla"</formula>
    </cfRule>
    <cfRule type="cellIs" dxfId="985" priority="45" stopIfTrue="1" operator="equal">
      <formula>"N/A"</formula>
    </cfRule>
    <cfRule type="cellIs" dxfId="984" priority="46" stopIfTrue="1" operator="equal">
      <formula>"N/T"</formula>
    </cfRule>
    <cfRule type="cellIs" dxfId="983" priority="47" stopIfTrue="1" operator="equal">
      <formula>"N/D"</formula>
    </cfRule>
  </conditionalFormatting>
  <conditionalFormatting sqref="D323:D357">
    <cfRule type="cellIs" dxfId="982" priority="41" stopIfTrue="1" operator="equal">
      <formula>"-"</formula>
    </cfRule>
  </conditionalFormatting>
  <conditionalFormatting sqref="E133:E167">
    <cfRule type="cellIs" dxfId="981" priority="40" stopIfTrue="1" operator="equal">
      <formula>"ERR"</formula>
    </cfRule>
  </conditionalFormatting>
  <conditionalFormatting sqref="D133:D167">
    <cfRule type="expression" dxfId="980" priority="28" stopIfTrue="1">
      <formula>ISBLANK(D133)</formula>
    </cfRule>
    <cfRule type="cellIs" dxfId="979" priority="29" stopIfTrue="1" operator="equal">
      <formula>"Pasa"</formula>
    </cfRule>
    <cfRule type="cellIs" dxfId="978" priority="30" stopIfTrue="1" operator="equal">
      <formula>"Falla"</formula>
    </cfRule>
    <cfRule type="cellIs" dxfId="977" priority="31" stopIfTrue="1" operator="equal">
      <formula>"N/A"</formula>
    </cfRule>
    <cfRule type="cellIs" dxfId="976" priority="32" stopIfTrue="1" operator="equal">
      <formula>"N/T"</formula>
    </cfRule>
    <cfRule type="cellIs" dxfId="975" priority="33" stopIfTrue="1" operator="equal">
      <formula>"N/D"</formula>
    </cfRule>
  </conditionalFormatting>
  <conditionalFormatting sqref="D133:D167">
    <cfRule type="cellIs" dxfId="974" priority="27" stopIfTrue="1" operator="equal">
      <formula>"-"</formula>
    </cfRule>
  </conditionalFormatting>
  <conditionalFormatting sqref="E171:E205">
    <cfRule type="cellIs" dxfId="973" priority="26" stopIfTrue="1" operator="equal">
      <formula>"ERR"</formula>
    </cfRule>
  </conditionalFormatting>
  <conditionalFormatting sqref="D171:D205">
    <cfRule type="expression" dxfId="972" priority="14" stopIfTrue="1">
      <formula>ISBLANK(D171)</formula>
    </cfRule>
    <cfRule type="cellIs" dxfId="971" priority="15" stopIfTrue="1" operator="equal">
      <formula>"Pasa"</formula>
    </cfRule>
    <cfRule type="cellIs" dxfId="970" priority="16" stopIfTrue="1" operator="equal">
      <formula>"Falla"</formula>
    </cfRule>
    <cfRule type="cellIs" dxfId="969" priority="17" stopIfTrue="1" operator="equal">
      <formula>"N/A"</formula>
    </cfRule>
    <cfRule type="cellIs" dxfId="968" priority="18" stopIfTrue="1" operator="equal">
      <formula>"N/T"</formula>
    </cfRule>
    <cfRule type="cellIs" dxfId="967" priority="19" stopIfTrue="1" operator="equal">
      <formula>"N/D"</formula>
    </cfRule>
  </conditionalFormatting>
  <conditionalFormatting sqref="D171:D205">
    <cfRule type="cellIs" dxfId="966" priority="13" stopIfTrue="1" operator="equal">
      <formula>"-"</formula>
    </cfRule>
  </conditionalFormatting>
  <conditionalFormatting sqref="K23">
    <cfRule type="expression" dxfId="965" priority="7" stopIfTrue="1">
      <formula>ISBLANK(K23)</formula>
    </cfRule>
    <cfRule type="cellIs" dxfId="964" priority="8" stopIfTrue="1" operator="equal">
      <formula>"Pasa"</formula>
    </cfRule>
    <cfRule type="cellIs" dxfId="963" priority="9" stopIfTrue="1" operator="equal">
      <formula>"Falla"</formula>
    </cfRule>
    <cfRule type="cellIs" dxfId="962" priority="10" stopIfTrue="1" operator="equal">
      <formula>"N/A"</formula>
    </cfRule>
    <cfRule type="cellIs" dxfId="961" priority="11" stopIfTrue="1" operator="equal">
      <formula>"N/T"</formula>
    </cfRule>
    <cfRule type="cellIs" dxfId="960" priority="12" stopIfTrue="1" operator="equal">
      <formula>"N/D"</formula>
    </cfRule>
  </conditionalFormatting>
  <conditionalFormatting sqref="K24">
    <cfRule type="expression" dxfId="959" priority="1" stopIfTrue="1">
      <formula>ISBLANK(K24)</formula>
    </cfRule>
    <cfRule type="cellIs" dxfId="958" priority="2" stopIfTrue="1" operator="equal">
      <formula>"Pasa"</formula>
    </cfRule>
    <cfRule type="cellIs" dxfId="957" priority="3" stopIfTrue="1" operator="equal">
      <formula>"Falla"</formula>
    </cfRule>
    <cfRule type="cellIs" dxfId="956" priority="4" stopIfTrue="1" operator="equal">
      <formula>"N/A"</formula>
    </cfRule>
    <cfRule type="cellIs" dxfId="955" priority="5" stopIfTrue="1" operator="equal">
      <formula>"N/T"</formula>
    </cfRule>
    <cfRule type="cellIs" dxfId="95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L1982"/>
  <sheetViews>
    <sheetView topLeftCell="A1349" zoomScale="90" zoomScaleNormal="90" workbookViewId="0">
      <selection activeCell="E1379" sqref="E137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6.71093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95" customHeight="1">
      <c r="B8" s="111" t="s">
        <v>153</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COUNTIF($B$18:$B$3962,B12)</f>
        <v>50.0</v>
      </c>
      <c r="D12" s="28"/>
      <c r="E12" s="14"/>
      <c r="F12" s="62" t="s">
        <v>26</v>
      </c>
      <c r="G12" s="61" t="n">
        <f ca="1">J20+J58+J96+J134+J172+J210+J248+J286+J324+J362+J400+J438+J476+J514+J552+J590+J628+J666+J704+J742+J780+J818+J856+J894+J932+J970+J1008+J1046+J1084+J1122+J1160+J1198+J1236+J1274+J1312+J1350+J1388+J1426+J1464+J1502+J1540+J1578+J1616+J1654+J1692+J1730+J1768+J1806+J1844+J1882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G20+G58+G96+G134+G172+G210+G248+G286+G324+G362+G400+G438+G476+G514+G552+G590+G628+G666+G704+G742+G780+G818+G856+G894+G932+G970+G1008+G1046+G1084+G1122+G1160+G1198+G1236+G1274+G1312+G1350+G1388+G1426+G1464+G1502+G1540+G1578+G1616+G1654+G1692+G1730+G1768+G1806+G1844+G1882</f>
        <v>785.0</v>
      </c>
      <c r="L12" s="53" t="n">
        <f ca="1">IF(($G$15+$K$15)=0,0,K12/($G$15+$K$15))</f>
        <v>0.47575757575757577</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I20+I58+I96+I134+I172+I210+I248+I286+I324+I362+I400+I438+I476+I514+I552+I590+I628+I666+I704+I742+I780+I818+I856+I894+I932+I970+I1008+I1046+I1084+I1122+I1160+I1198+I1236+I1274+I1312+I1350+I1388+I1426+I1464+I1502+I1540+I1578+I1616+I1654+I1692+I1730+I1768+I1806+I1844+I1882</f>
        <v>7.0</v>
      </c>
      <c r="H13" s="53" t="n">
        <f ca="1">IF(($G$15+$K$15)=0,0,G13/($G$15+$K$15))</f>
        <v>0.004242424242424243</v>
      </c>
      <c r="I13" s="28"/>
      <c r="J13" s="60" t="s">
        <v>29</v>
      </c>
      <c r="K13" s="61" t="n">
        <f ca="1">F20+F58+F96+F134+F172+F210+F248+F286+F324+F362+F400+F438+F476+F514+F552+F590+F628+F666+F704+F742+F780+F818+F856+F894+F932+F970+F1008+F1046+F1084+F1122+F1160+F1198+F1236+F1274+F1312+F1350+F1388+F1426+F1464+F1502+F1540+F1578+F1616+F1654+F1692+F1730+F1768+F1806+F1844+F1882</f>
        <v>858.0</v>
      </c>
      <c r="L13" s="53" t="n">
        <f ca="1">IF(($G$15+$K$15)=0,0,K13/($G$15+$K$15))</f>
        <v>0.52</v>
      </c>
      <c r="M13" s="19"/>
      <c r="N13" s="19"/>
      <c r="O13" s="19"/>
      <c r="P13" s="19"/>
      <c r="Q13" s="19"/>
      <c r="R13" s="19"/>
      <c r="U13" s="19"/>
      <c r="V13" s="19"/>
      <c r="W13" s="19"/>
      <c r="X13" s="19"/>
      <c r="Y13" s="19"/>
    </row>
    <row r="14" spans="1:64" ht="12" customHeight="1" thickBot="1">
      <c r="B14" s="58" t="s">
        <v>30</v>
      </c>
      <c r="C14" s="59" t="n">
        <f>C12+C13</f>
        <v>50.0</v>
      </c>
      <c r="D14" s="28"/>
      <c r="E14" s="14"/>
      <c r="F14" s="62" t="s">
        <v>31</v>
      </c>
      <c r="G14" s="61" t="n">
        <f ca="1">H20+H58+H96+H134+H172+H210+H248+H286+H324+H362+H400+H438+H476+H514+H552+H590+H628+H666+H704+H742+H780+H818+H856+H894+H932+H970+H1008+H1046+H1084+H1122+H1160+H1198+H1236+H1274+H1312+H1350+H1388+H1426+H1464+H1502+H1540+H1578+H1616+H1654+H1692+H1730+H1768+H1806+H1844+H1882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K20+K58+K96+K134+K172+K210+K248+K286+K324+K362+K400+K438+K476+K514+K552+K590+K628+K666+K704+K742+K780+K818+K856+K894+K932+K970+K1008+K1046+K1084+K1122+K1160+K1198+K1236+K1274+K1312+K1350+K1388+K1426+K1464+K1502+K1540+K1578+K1616+K1654+K1692+K1730+K1768+K1806+K1844+K1882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7.0</v>
      </c>
      <c r="H15" s="55" t="n">
        <f ca="1">SUM(H12:H14)</f>
        <v>0.004242424242424243</v>
      </c>
      <c r="I15" s="28"/>
      <c r="J15" s="58" t="s">
        <v>30</v>
      </c>
      <c r="K15" s="49" t="n">
        <f ca="1">SUM(K12:K13)</f>
        <v>1643.0</v>
      </c>
      <c r="L15" s="55" t="n">
        <f ca="1">SUM(L12:L13)</f>
        <v>0.9957575757575758</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373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33.0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37</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37</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37</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37</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37</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37</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37</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37</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37</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37</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37</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37</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37</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37</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37</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37</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37</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37</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37</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37</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37</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37</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37</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37</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37</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37</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37</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37</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37</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37</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37</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374</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375</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376</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377</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268</v>
      </c>
      <c r="B208" s="24" t="s">
        <v>90</v>
      </c>
      <c r="C208" s="25" t="s">
        <v>378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37</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37</v>
      </c>
      <c r="E210" s="107" t="str">
        <f t="shared" si="10"/>
        <v/>
      </c>
      <c r="F210" s="120" t="n">
        <f ca="1">COUNTIF($D209:INDIRECT("$D" &amp;  SUM(ROW()-1,'03.Muestra'!$D$45)-1),F209)</f>
        <v>0.0</v>
      </c>
      <c r="G210" s="120" t="n">
        <f ca="1">COUNTIF($D209:INDIRECT("$D" &amp;  SUM(ROW()-1,'03.Muestra'!$D$45)-1),G209)</f>
        <v>33.0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37</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37</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37</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37</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37</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37</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37</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37</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37</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37</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37</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37</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37</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37</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37</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37</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37</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37</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37</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37</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37</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37</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37</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37</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37</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ref="D242:D243">IF(AND(B242&lt;&gt;"",C242&lt;&gt;""),"N/T","")</f>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268</v>
      </c>
      <c r="B246" s="24" t="s">
        <v>90</v>
      </c>
      <c r="C246" s="25" t="s">
        <v>379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268</v>
      </c>
      <c r="B284" s="24" t="s">
        <v>90</v>
      </c>
      <c r="C284" s="25" t="s">
        <v>380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268</v>
      </c>
      <c r="B322" s="24" t="s">
        <v>90</v>
      </c>
      <c r="C322" s="25" t="s">
        <v>381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
        <v>37</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
        <v>37</v>
      </c>
      <c r="E324" s="107" t="str">
        <f t="shared" si="16"/>
        <v/>
      </c>
      <c r="F324" s="120" t="n">
        <f ca="1">COUNTIF($D323:INDIRECT("$D" &amp;  SUM(ROW()-1,'03.Muestra'!$D$45)-1),F323)</f>
        <v>0.0</v>
      </c>
      <c r="G324" s="120" t="n">
        <f ca="1">COUNTIF($D323:INDIRECT("$D" &amp;  SUM(ROW()-1,'03.Muestra'!$D$45)-1),G323)</f>
        <v>33.0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
        <v>37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
        <v>37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
        <v>37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
        <v>37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
        <v>37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
        <v>37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
        <v>37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
        <v>37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
        <v>37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
        <v>37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
        <v>37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
        <v>37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
        <v>37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
        <v>37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
        <v>37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
        <v>37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
        <v>37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
        <v>37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
        <v>37</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
        <v>37</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
        <v>37</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
        <v>37</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
        <v>37</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
        <v>37</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
        <v>37</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
        <v>37</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
        <v>37</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
        <v>37</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
        <v>37</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
        <v>37</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
        <v>37</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ref="D356:D357">IF(AND(B356&lt;&gt;"",C356&lt;&gt;""),"N/T","")</f>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268</v>
      </c>
      <c r="B360" s="24" t="s">
        <v>90</v>
      </c>
      <c r="C360" s="25" t="s">
        <v>382</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
        <v>37</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
        <v>37</v>
      </c>
      <c r="E362" s="107" t="str">
        <f t="shared" si="18"/>
        <v/>
      </c>
      <c r="F362" s="120" t="n">
        <f ca="1">COUNTIF($D361:INDIRECT("$D" &amp;  SUM(ROW()-1,'03.Muestra'!$D$45)-1),F361)</f>
        <v>0.0</v>
      </c>
      <c r="G362" s="120" t="n">
        <f ca="1">COUNTIF($D361:INDIRECT("$D" &amp;  SUM(ROW()-1,'03.Muestra'!$D$45)-1),G361)</f>
        <v>33.0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IF(COUNTIF('03.Muestra'!$D$8:$D$42,"Página Web")=0,0,COUNTBLANK($D361:INDIRECT("$D" &amp;  SUM(ROW()-1,COUNTIF('03.Muestra'!$D$8:$D$42,"Página Web"))-1)))</f>
        <v>0.0</v>
      </c>
      <c r="L362" s="19"/>
      <c r="M362" s="19"/>
      <c r="N362" s="19"/>
      <c r="O362" s="19"/>
      <c r="P362" s="19"/>
      <c r="Q362" s="19"/>
      <c r="R362" s="19"/>
      <c r="S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
        <v>37</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
        <v>37</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
        <v>37</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
        <v>37</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
        <v>37</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
        <v>37</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
        <v>37</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
        <v>37</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
        <v>37</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
        <v>37</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
        <v>37</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
        <v>37</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
        <v>37</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
        <v>37</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
        <v>37</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
        <v>37</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
        <v>37</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
        <v>37</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
        <v>37</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
        <v>37</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
        <v>37</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
        <v>37</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
        <v>37</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
        <v>37</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
        <v>37</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
        <v>37</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
        <v>37</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
        <v>37</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
        <v>37</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
        <v>37</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
        <v>37</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ref="D394:D395">IF(AND(B394&lt;&gt;"",C394&lt;&gt;""),"N/T","")</f>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268</v>
      </c>
      <c r="B398" s="24" t="s">
        <v>90</v>
      </c>
      <c r="C398" s="25" t="s">
        <v>383</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33.0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IF(COUNTIF('03.Muestra'!$D$8:$D$42,"Página Web")=0,0,COUNTBLANK($D399:INDIRECT("$D" &amp;  SUM(ROW()-1,COUNTIF('03.Muestra'!$D$8:$D$42,"Página Web"))-1)))</f>
        <v>0.0</v>
      </c>
      <c r="L400" s="19"/>
      <c r="M400" s="19"/>
      <c r="N400" s="19"/>
      <c r="O400" s="19"/>
      <c r="P400" s="19"/>
      <c r="Q400" s="19"/>
      <c r="R400" s="19"/>
      <c r="S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268</v>
      </c>
      <c r="B436" s="24" t="s">
        <v>90</v>
      </c>
      <c r="C436" s="25" t="s">
        <v>384</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33.0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268</v>
      </c>
      <c r="B474" s="24" t="s">
        <v>90</v>
      </c>
      <c r="C474" s="25" t="s">
        <v>385</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
        <v>37</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
        <v>37</v>
      </c>
      <c r="E476" s="107" t="str">
        <f t="shared" si="24"/>
        <v/>
      </c>
      <c r="F476" s="120" t="n">
        <f ca="1">COUNTIF($D475:INDIRECT("$D" &amp;  SUM(ROW()-1,'03.Muestra'!$D$45)-1),F475)</f>
        <v>0.0</v>
      </c>
      <c r="G476" s="120" t="n">
        <f ca="1">COUNTIF($D475:INDIRECT("$D" &amp;  SUM(ROW()-1,'03.Muestra'!$D$45)-1),G475)</f>
        <v>32.0</v>
      </c>
      <c r="H476" s="120" t="n">
        <f ca="1">COUNTIF($D475:INDIRECT("$D" &amp;  SUM(ROW()-1,'03.Muestra'!$D$45)-1),H475)</f>
        <v>0.0</v>
      </c>
      <c r="I476" s="120" t="n">
        <f ca="1">COUNTIF($D475:INDIRECT("$D" &amp;  SUM(ROW()-1,'03.Muestra'!$D$45)-1),I475)</f>
        <v>1.0</v>
      </c>
      <c r="J476" s="120" t="n">
        <f ca="1">COUNTIF($D475:INDIRECT("$D" &amp;  SUM(ROW()-1,'03.Muestra'!$D$45)-1),J475)</f>
        <v>0.0</v>
      </c>
      <c r="K476" s="227"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
        <v>37</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
        <v>37</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
        <v>37</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
        <v>37</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
        <v>37</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
        <v>37</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
        <v>37</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
        <v>28</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
        <v>37</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
        <v>37</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
        <v>37</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
        <v>37</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
        <v>37</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
        <v>37</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
        <v>37</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
        <v>37</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
        <v>37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
        <v>37</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
        <v>37</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
        <v>37</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
        <v>37</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
        <v>37</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
        <v>37</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
        <v>37</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
        <v>37</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
        <v>37</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
        <v>37</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
        <v>37</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
        <v>37</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
        <v>37</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
        <v>37</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ref="D508:D509">IF(AND(B508&lt;&gt;"",C508&lt;&gt;""),"N/T","")</f>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268</v>
      </c>
      <c r="B512" s="24" t="s">
        <v>90</v>
      </c>
      <c r="C512" s="25" t="s">
        <v>386</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33.0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268</v>
      </c>
      <c r="B550" s="24" t="s">
        <v>90</v>
      </c>
      <c r="C550" s="25" t="s">
        <v>387</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33.0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268</v>
      </c>
      <c r="B588" s="24" t="s">
        <v>90</v>
      </c>
      <c r="C588" s="25" t="s">
        <v>388</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
        <v>37</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
        <v>37</v>
      </c>
      <c r="E590" s="107" t="str">
        <f t="shared" si="30"/>
        <v/>
      </c>
      <c r="F590" s="120" t="n">
        <f ca="1">COUNTIF($D589:INDIRECT("$D" &amp;  SUM(ROW()-1,'03.Muestra'!$D$45)-1),F589)</f>
        <v>0.0</v>
      </c>
      <c r="G590" s="120" t="n">
        <f ca="1">COUNTIF($D589:INDIRECT("$D" &amp;  SUM(ROW()-1,'03.Muestra'!$D$45)-1),G589)</f>
        <v>33.0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
        <v>37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
        <v>37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
        <v>37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
        <v>37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
        <v>37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
        <v>37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
        <v>37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
        <v>37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
        <v>37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
        <v>37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
        <v>37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
        <v>37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
        <v>37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
        <v>37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
        <v>37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
        <v>37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
        <v>37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
        <v>37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
        <v>37</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
        <v>37</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
        <v>37</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
        <v>37</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
        <v>37</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
        <v>37</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
        <v>37</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
        <v>37</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
        <v>37</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
        <v>37</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
        <v>37</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
        <v>37</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
        <v>37</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ref="D622:D623">IF(AND(B622&lt;&gt;"",C622&lt;&gt;""),"N/T","")</f>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268</v>
      </c>
      <c r="B626" s="24" t="s">
        <v>90</v>
      </c>
      <c r="C626" s="25" t="s">
        <v>389</v>
      </c>
      <c r="D626" s="26" t="s">
        <v>32</v>
      </c>
      <c r="E626" s="123"/>
      <c r="K626" s="233"/>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33.0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268</v>
      </c>
      <c r="B664" s="24" t="s">
        <v>90</v>
      </c>
      <c r="C664" s="25" t="s">
        <v>390</v>
      </c>
      <c r="D664" s="26" t="s">
        <v>32</v>
      </c>
      <c r="E664" s="123"/>
      <c r="K664" s="233"/>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
        <v>37</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
        <v>37</v>
      </c>
      <c r="E666" s="107" t="str">
        <f t="shared" si="34"/>
        <v/>
      </c>
      <c r="F666" s="120" t="n">
        <f ca="1">COUNTIF($D665:INDIRECT("$D" &amp;  SUM(ROW()-1,'03.Muestra'!$D$45)-1),F665)</f>
        <v>0.0</v>
      </c>
      <c r="G666" s="120" t="n">
        <f ca="1">COUNTIF($D665:INDIRECT("$D" &amp;  SUM(ROW()-1,'03.Muestra'!$D$45)-1),G665)</f>
        <v>33.0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
        <v>37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
        <v>37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
        <v>37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
        <v>37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
        <v>37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
        <v>37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
        <v>37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
        <v>37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
        <v>37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
        <v>37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
        <v>37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
        <v>37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
        <v>37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
        <v>37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
        <v>37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
        <v>37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
        <v>37</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
        <v>37</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
        <v>37</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
        <v>37</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
        <v>37</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
        <v>37</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
        <v>37</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
        <v>37</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
        <v>37</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
        <v>37</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
        <v>37</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
        <v>37</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
        <v>37</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
        <v>37</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
        <v>37</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ref="D698:D699">IF(AND(B698&lt;&gt;"",C698&lt;&gt;""),"N/T","")</f>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268</v>
      </c>
      <c r="B702" s="24" t="s">
        <v>90</v>
      </c>
      <c r="C702" s="25" t="s">
        <v>391</v>
      </c>
      <c r="D702" s="26" t="s">
        <v>32</v>
      </c>
      <c r="E702" s="123"/>
      <c r="J702" s="125"/>
      <c r="K702" s="233"/>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33.0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268</v>
      </c>
      <c r="B740" s="24" t="s">
        <v>90</v>
      </c>
      <c r="C740" s="25" t="s">
        <v>392</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IFERROR(INDEX('03.Muestra'!$B$8:$B$42,SMALL(IF("Página Web"='03.Muestra'!$D$8:$D$42,ROW('03.Muestra'!$B$8:$B$42)-MIN(ROW('03.Muestra'!$D$8:$D$42))+1,""),ROW()-740)),"")</f>
        <v>1.0</v>
      </c>
      <c r="B741" s="114" t="str" cm="1">
        <f t="array" ref="B741">IFERROR(INDEX('03.Muestra'!$C$8:$C$42,SMALL(IF("Página Web"='03.Muestra'!$D$8:$D$42,ROW('03.Muestra'!$C$8:$C$42)-MIN(ROW('03.Muestra'!$D$8:$D$42))+1,""),ROW()-740)),"")</f>
        <v>Home - PortCastelló</v>
      </c>
      <c r="C741" s="114" t="str" cm="1">
        <f t="array" ref="C741">IFERROR(INDEX('03.Muestra'!$F$8:$F$42,SMALL(IF("Página Web"='03.Muestra'!$D$8:$D$42,ROW('03.Muestra'!$F$8:$F$42)-MIN(ROW('03.Muestra'!$D$8:$D$42))+1,""),ROW()-740)),"")</f>
        <v>https://www.portcastello.com/</v>
      </c>
      <c r="D741" s="130" t="s">
        <v>37</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IFERROR(INDEX('03.Muestra'!$B$8:$B$42,SMALL(IF("Página Web"='03.Muestra'!$D$8:$D$42,ROW('03.Muestra'!$B$8:$B$42)-MIN(ROW('03.Muestra'!$D$8:$D$42))+1,""),ROW()-740)),"")</f>
        <v>1.0</v>
      </c>
      <c r="B742" s="114" t="str" cm="1">
        <f t="array" ref="B742">IFERROR(INDEX('03.Muestra'!$C$8:$C$42,SMALL(IF("Página Web"='03.Muestra'!$D$8:$D$42,ROW('03.Muestra'!$C$8:$C$42)-MIN(ROW('03.Muestra'!$D$8:$D$42))+1,""),ROW()-740)),"")</f>
        <v>Home - PortCastelló</v>
      </c>
      <c r="C742" s="114" t="str" cm="1">
        <f t="array" ref="C742">IFERROR(INDEX('03.Muestra'!$F$8:$F$42,SMALL(IF("Página Web"='03.Muestra'!$D$8:$D$42,ROW('03.Muestra'!$F$8:$F$42)-MIN(ROW('03.Muestra'!$D$8:$D$42))+1,""),ROW()-740)),"")</f>
        <v>https://www.portcastello.com/</v>
      </c>
      <c r="D742" s="130" t="s">
        <v>37</v>
      </c>
      <c r="E742" s="107" t="str">
        <f t="shared" si="38"/>
        <v/>
      </c>
      <c r="F742" s="120" t="n">
        <f ca="1">COUNTIF($D741:INDIRECT("$D" &amp;  SUM(ROW()-1,'03.Muestra'!$D$45)-1),F741)</f>
        <v>0.0</v>
      </c>
      <c r="G742" s="120" t="n">
        <f ca="1">COUNTIF($D741:INDIRECT("$D" &amp;  SUM(ROW()-1,'03.Muestra'!$D$45)-1),G741)</f>
        <v>33.0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IF(COUNTIF('03.Muestra'!$D$8:$D$42,"Página Web")=0,0,COUNTBLANK($D741:INDIRECT("$D" &amp;  SUM(ROW()-1,COUNTIF('03.Muestra'!$D$8:$D$42,"Página Web"))-1)))</f>
        <v>0.0</v>
      </c>
      <c r="M742" s="19"/>
      <c r="N742" s="19"/>
      <c r="O742" s="19"/>
      <c r="P742" s="19"/>
      <c r="Q742" s="19"/>
      <c r="R742" s="19"/>
      <c r="S742" s="19"/>
      <c r="T742" s="19"/>
      <c r="U742" s="19"/>
      <c r="V742" s="19"/>
      <c r="W742" s="19"/>
      <c r="X742" s="19"/>
      <c r="Y742" s="19"/>
    </row>
    <row r="743" spans="1:25" ht="12" customHeight="1">
      <c r="A743" s="219" t="n" cm="1">
        <f t="array" ref="A743">IFERROR(INDEX('03.Muestra'!$B$8:$B$42,SMALL(IF("Página Web"='03.Muestra'!$D$8:$D$42,ROW('03.Muestra'!$B$8:$B$42)-MIN(ROW('03.Muestra'!$D$8:$D$42))+1,""),ROW()-740)),"")</f>
        <v>1.0</v>
      </c>
      <c r="B743" s="114" t="str" cm="1">
        <f t="array" ref="B743">IFERROR(INDEX('03.Muestra'!$C$8:$C$42,SMALL(IF("Página Web"='03.Muestra'!$D$8:$D$42,ROW('03.Muestra'!$C$8:$C$42)-MIN(ROW('03.Muestra'!$D$8:$D$42))+1,""),ROW()-740)),"")</f>
        <v>Home - PortCastelló</v>
      </c>
      <c r="C743" s="114" t="str" cm="1">
        <f t="array" ref="C743">IFERROR(INDEX('03.Muestra'!$F$8:$F$42,SMALL(IF("Página Web"='03.Muestra'!$D$8:$D$42,ROW('03.Muestra'!$F$8:$F$42)-MIN(ROW('03.Muestra'!$D$8:$D$42))+1,""),ROW()-740)),"")</f>
        <v>https://www.portcastello.com/</v>
      </c>
      <c r="D743" s="130" t="s">
        <v>37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n" cm="1">
        <f t="array" ref="A744">IFERROR(INDEX('03.Muestra'!$B$8:$B$42,SMALL(IF("Página Web"='03.Muestra'!$D$8:$D$42,ROW('03.Muestra'!$B$8:$B$42)-MIN(ROW('03.Muestra'!$D$8:$D$42))+1,""),ROW()-740)),"")</f>
        <v>1.0</v>
      </c>
      <c r="B744" s="114" t="str" cm="1">
        <f t="array" ref="B744">IFERROR(INDEX('03.Muestra'!$C$8:$C$42,SMALL(IF("Página Web"='03.Muestra'!$D$8:$D$42,ROW('03.Muestra'!$C$8:$C$42)-MIN(ROW('03.Muestra'!$D$8:$D$42))+1,""),ROW()-740)),"")</f>
        <v>Home - PortCastelló</v>
      </c>
      <c r="C744" s="114" t="str" cm="1">
        <f t="array" ref="C744">IFERROR(INDEX('03.Muestra'!$F$8:$F$42,SMALL(IF("Página Web"='03.Muestra'!$D$8:$D$42,ROW('03.Muestra'!$F$8:$F$42)-MIN(ROW('03.Muestra'!$D$8:$D$42))+1,""),ROW()-740)),"")</f>
        <v>https://www.portcastello.com/</v>
      </c>
      <c r="D744" s="130" t="s">
        <v>37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n" cm="1">
        <f t="array" ref="A745">IFERROR(INDEX('03.Muestra'!$B$8:$B$42,SMALL(IF("Página Web"='03.Muestra'!$D$8:$D$42,ROW('03.Muestra'!$B$8:$B$42)-MIN(ROW('03.Muestra'!$D$8:$D$42))+1,""),ROW()-740)),"")</f>
        <v>1.0</v>
      </c>
      <c r="B745" s="114" t="str" cm="1">
        <f t="array" ref="B745">IFERROR(INDEX('03.Muestra'!$C$8:$C$42,SMALL(IF("Página Web"='03.Muestra'!$D$8:$D$42,ROW('03.Muestra'!$C$8:$C$42)-MIN(ROW('03.Muestra'!$D$8:$D$42))+1,""),ROW()-740)),"")</f>
        <v>Home - PortCastelló</v>
      </c>
      <c r="C745" s="114" t="str" cm="1">
        <f t="array" ref="C745">IFERROR(INDEX('03.Muestra'!$F$8:$F$42,SMALL(IF("Página Web"='03.Muestra'!$D$8:$D$42,ROW('03.Muestra'!$F$8:$F$42)-MIN(ROW('03.Muestra'!$D$8:$D$42))+1,""),ROW()-740)),"")</f>
        <v>https://www.portcastello.com/</v>
      </c>
      <c r="D745" s="130" t="s">
        <v>37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n" cm="1">
        <f t="array" ref="A746">IFERROR(INDEX('03.Muestra'!$B$8:$B$42,SMALL(IF("Página Web"='03.Muestra'!$D$8:$D$42,ROW('03.Muestra'!$B$8:$B$42)-MIN(ROW('03.Muestra'!$D$8:$D$42))+1,""),ROW()-740)),"")</f>
        <v>1.0</v>
      </c>
      <c r="B746" s="114" t="str" cm="1">
        <f t="array" ref="B746">IFERROR(INDEX('03.Muestra'!$C$8:$C$42,SMALL(IF("Página Web"='03.Muestra'!$D$8:$D$42,ROW('03.Muestra'!$C$8:$C$42)-MIN(ROW('03.Muestra'!$D$8:$D$42))+1,""),ROW()-740)),"")</f>
        <v>Home - PortCastelló</v>
      </c>
      <c r="C746" s="114" t="str" cm="1">
        <f t="array" ref="C746">IFERROR(INDEX('03.Muestra'!$F$8:$F$42,SMALL(IF("Página Web"='03.Muestra'!$D$8:$D$42,ROW('03.Muestra'!$F$8:$F$42)-MIN(ROW('03.Muestra'!$D$8:$D$42))+1,""),ROW()-740)),"")</f>
        <v>https://www.portcastello.com/</v>
      </c>
      <c r="D746" s="130" t="s">
        <v>37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n" cm="1">
        <f t="array" ref="A747">IFERROR(INDEX('03.Muestra'!$B$8:$B$42,SMALL(IF("Página Web"='03.Muestra'!$D$8:$D$42,ROW('03.Muestra'!$B$8:$B$42)-MIN(ROW('03.Muestra'!$D$8:$D$42))+1,""),ROW()-740)),"")</f>
        <v>1.0</v>
      </c>
      <c r="B747" s="114" t="str" cm="1">
        <f t="array" ref="B747">IFERROR(INDEX('03.Muestra'!$C$8:$C$42,SMALL(IF("Página Web"='03.Muestra'!$D$8:$D$42,ROW('03.Muestra'!$C$8:$C$42)-MIN(ROW('03.Muestra'!$D$8:$D$42))+1,""),ROW()-740)),"")</f>
        <v>Home - PortCastelló</v>
      </c>
      <c r="C747" s="114" t="str" cm="1">
        <f t="array" ref="C747">IFERROR(INDEX('03.Muestra'!$F$8:$F$42,SMALL(IF("Página Web"='03.Muestra'!$D$8:$D$42,ROW('03.Muestra'!$F$8:$F$42)-MIN(ROW('03.Muestra'!$D$8:$D$42))+1,""),ROW()-740)),"")</f>
        <v>https://www.portcastello.com/</v>
      </c>
      <c r="D747" s="130" t="s">
        <v>37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n" cm="1">
        <f t="array" ref="A748">IFERROR(INDEX('03.Muestra'!$B$8:$B$42,SMALL(IF("Página Web"='03.Muestra'!$D$8:$D$42,ROW('03.Muestra'!$B$8:$B$42)-MIN(ROW('03.Muestra'!$D$8:$D$42))+1,""),ROW()-740)),"")</f>
        <v>1.0</v>
      </c>
      <c r="B748" s="114" t="str" cm="1">
        <f t="array" ref="B748">IFERROR(INDEX('03.Muestra'!$C$8:$C$42,SMALL(IF("Página Web"='03.Muestra'!$D$8:$D$42,ROW('03.Muestra'!$C$8:$C$42)-MIN(ROW('03.Muestra'!$D$8:$D$42))+1,""),ROW()-740)),"")</f>
        <v>Home - PortCastelló</v>
      </c>
      <c r="C748" s="114" t="str" cm="1">
        <f t="array" ref="C748">IFERROR(INDEX('03.Muestra'!$F$8:$F$42,SMALL(IF("Página Web"='03.Muestra'!$D$8:$D$42,ROW('03.Muestra'!$F$8:$F$42)-MIN(ROW('03.Muestra'!$D$8:$D$42))+1,""),ROW()-740)),"")</f>
        <v>https://www.portcastello.com/</v>
      </c>
      <c r="D748" s="130" t="s">
        <v>37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n" cm="1">
        <f t="array" ref="A749">IFERROR(INDEX('03.Muestra'!$B$8:$B$42,SMALL(IF("Página Web"='03.Muestra'!$D$8:$D$42,ROW('03.Muestra'!$B$8:$B$42)-MIN(ROW('03.Muestra'!$D$8:$D$42))+1,""),ROW()-740)),"")</f>
        <v>1.0</v>
      </c>
      <c r="B749" s="114" t="str" cm="1">
        <f t="array" ref="B749">IFERROR(INDEX('03.Muestra'!$C$8:$C$42,SMALL(IF("Página Web"='03.Muestra'!$D$8:$D$42,ROW('03.Muestra'!$C$8:$C$42)-MIN(ROW('03.Muestra'!$D$8:$D$42))+1,""),ROW()-740)),"")</f>
        <v>Home - PortCastelló</v>
      </c>
      <c r="C749" s="114" t="str" cm="1">
        <f t="array" ref="C749">IFERROR(INDEX('03.Muestra'!$F$8:$F$42,SMALL(IF("Página Web"='03.Muestra'!$D$8:$D$42,ROW('03.Muestra'!$F$8:$F$42)-MIN(ROW('03.Muestra'!$D$8:$D$42))+1,""),ROW()-740)),"")</f>
        <v>https://www.portcastello.com/</v>
      </c>
      <c r="D749" s="130" t="s">
        <v>37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n" cm="1">
        <f t="array" ref="A750">IFERROR(INDEX('03.Muestra'!$B$8:$B$42,SMALL(IF("Página Web"='03.Muestra'!$D$8:$D$42,ROW('03.Muestra'!$B$8:$B$42)-MIN(ROW('03.Muestra'!$D$8:$D$42))+1,""),ROW()-740)),"")</f>
        <v>1.0</v>
      </c>
      <c r="B750" s="114" t="str" cm="1">
        <f t="array" ref="B750">IFERROR(INDEX('03.Muestra'!$C$8:$C$42,SMALL(IF("Página Web"='03.Muestra'!$D$8:$D$42,ROW('03.Muestra'!$C$8:$C$42)-MIN(ROW('03.Muestra'!$D$8:$D$42))+1,""),ROW()-740)),"")</f>
        <v>Home - PortCastelló</v>
      </c>
      <c r="C750" s="114" t="str" cm="1">
        <f t="array" ref="C750">IFERROR(INDEX('03.Muestra'!$F$8:$F$42,SMALL(IF("Página Web"='03.Muestra'!$D$8:$D$42,ROW('03.Muestra'!$F$8:$F$42)-MIN(ROW('03.Muestra'!$D$8:$D$42))+1,""),ROW()-740)),"")</f>
        <v>https://www.portcastello.com/</v>
      </c>
      <c r="D750" s="130" t="s">
        <v>37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n" cm="1">
        <f t="array" ref="A751">IFERROR(INDEX('03.Muestra'!$B$8:$B$42,SMALL(IF("Página Web"='03.Muestra'!$D$8:$D$42,ROW('03.Muestra'!$B$8:$B$42)-MIN(ROW('03.Muestra'!$D$8:$D$42))+1,""),ROW()-740)),"")</f>
        <v>1.0</v>
      </c>
      <c r="B751" s="114" t="str" cm="1">
        <f t="array" ref="B751">IFERROR(INDEX('03.Muestra'!$C$8:$C$42,SMALL(IF("Página Web"='03.Muestra'!$D$8:$D$42,ROW('03.Muestra'!$C$8:$C$42)-MIN(ROW('03.Muestra'!$D$8:$D$42))+1,""),ROW()-740)),"")</f>
        <v>Home - PortCastelló</v>
      </c>
      <c r="C751" s="114" t="str" cm="1">
        <f t="array" ref="C751">IFERROR(INDEX('03.Muestra'!$F$8:$F$42,SMALL(IF("Página Web"='03.Muestra'!$D$8:$D$42,ROW('03.Muestra'!$F$8:$F$42)-MIN(ROW('03.Muestra'!$D$8:$D$42))+1,""),ROW()-740)),"")</f>
        <v>https://www.portcastello.com/</v>
      </c>
      <c r="D751" s="130" t="s">
        <v>37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n" cm="1">
        <f t="array" ref="A752">IFERROR(INDEX('03.Muestra'!$B$8:$B$42,SMALL(IF("Página Web"='03.Muestra'!$D$8:$D$42,ROW('03.Muestra'!$B$8:$B$42)-MIN(ROW('03.Muestra'!$D$8:$D$42))+1,""),ROW()-740)),"")</f>
        <v>1.0</v>
      </c>
      <c r="B752" s="114" t="str" cm="1">
        <f t="array" ref="B752">IFERROR(INDEX('03.Muestra'!$C$8:$C$42,SMALL(IF("Página Web"='03.Muestra'!$D$8:$D$42,ROW('03.Muestra'!$C$8:$C$42)-MIN(ROW('03.Muestra'!$D$8:$D$42))+1,""),ROW()-740)),"")</f>
        <v>Home - PortCastelló</v>
      </c>
      <c r="C752" s="114" t="str" cm="1">
        <f t="array" ref="C752">IFERROR(INDEX('03.Muestra'!$F$8:$F$42,SMALL(IF("Página Web"='03.Muestra'!$D$8:$D$42,ROW('03.Muestra'!$F$8:$F$42)-MIN(ROW('03.Muestra'!$D$8:$D$42))+1,""),ROW()-740)),"")</f>
        <v>https://www.portcastello.com/</v>
      </c>
      <c r="D752" s="130" t="s">
        <v>37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n" cm="1">
        <f t="array" ref="A753">IFERROR(INDEX('03.Muestra'!$B$8:$B$42,SMALL(IF("Página Web"='03.Muestra'!$D$8:$D$42,ROW('03.Muestra'!$B$8:$B$42)-MIN(ROW('03.Muestra'!$D$8:$D$42))+1,""),ROW()-740)),"")</f>
        <v>1.0</v>
      </c>
      <c r="B753" s="114" t="str" cm="1">
        <f t="array" ref="B753">IFERROR(INDEX('03.Muestra'!$C$8:$C$42,SMALL(IF("Página Web"='03.Muestra'!$D$8:$D$42,ROW('03.Muestra'!$C$8:$C$42)-MIN(ROW('03.Muestra'!$D$8:$D$42))+1,""),ROW()-740)),"")</f>
        <v>Home - PortCastelló</v>
      </c>
      <c r="C753" s="114" t="str" cm="1">
        <f t="array" ref="C753">IFERROR(INDEX('03.Muestra'!$F$8:$F$42,SMALL(IF("Página Web"='03.Muestra'!$D$8:$D$42,ROW('03.Muestra'!$F$8:$F$42)-MIN(ROW('03.Muestra'!$D$8:$D$42))+1,""),ROW()-740)),"")</f>
        <v>https://www.portcastello.com/</v>
      </c>
      <c r="D753" s="130" t="s">
        <v>37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n" cm="1">
        <f t="array" ref="A754">IFERROR(INDEX('03.Muestra'!$B$8:$B$42,SMALL(IF("Página Web"='03.Muestra'!$D$8:$D$42,ROW('03.Muestra'!$B$8:$B$42)-MIN(ROW('03.Muestra'!$D$8:$D$42))+1,""),ROW()-740)),"")</f>
        <v>1.0</v>
      </c>
      <c r="B754" s="114" t="str" cm="1">
        <f t="array" ref="B754">IFERROR(INDEX('03.Muestra'!$C$8:$C$42,SMALL(IF("Página Web"='03.Muestra'!$D$8:$D$42,ROW('03.Muestra'!$C$8:$C$42)-MIN(ROW('03.Muestra'!$D$8:$D$42))+1,""),ROW()-740)),"")</f>
        <v>Home - PortCastelló</v>
      </c>
      <c r="C754" s="114" t="str" cm="1">
        <f t="array" ref="C754">IFERROR(INDEX('03.Muestra'!$F$8:$F$42,SMALL(IF("Página Web"='03.Muestra'!$D$8:$D$42,ROW('03.Muestra'!$F$8:$F$42)-MIN(ROW('03.Muestra'!$D$8:$D$42))+1,""),ROW()-740)),"")</f>
        <v>https://www.portcastello.com/</v>
      </c>
      <c r="D754" s="130" t="s">
        <v>37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n" cm="1">
        <f t="array" ref="A755">IFERROR(INDEX('03.Muestra'!$B$8:$B$42,SMALL(IF("Página Web"='03.Muestra'!$D$8:$D$42,ROW('03.Muestra'!$B$8:$B$42)-MIN(ROW('03.Muestra'!$D$8:$D$42))+1,""),ROW()-740)),"")</f>
        <v>1.0</v>
      </c>
      <c r="B755" s="114" t="str" cm="1">
        <f t="array" ref="B755">IFERROR(INDEX('03.Muestra'!$C$8:$C$42,SMALL(IF("Página Web"='03.Muestra'!$D$8:$D$42,ROW('03.Muestra'!$C$8:$C$42)-MIN(ROW('03.Muestra'!$D$8:$D$42))+1,""),ROW()-740)),"")</f>
        <v>Home - PortCastelló</v>
      </c>
      <c r="C755" s="114" t="str" cm="1">
        <f t="array" ref="C755">IFERROR(INDEX('03.Muestra'!$F$8:$F$42,SMALL(IF("Página Web"='03.Muestra'!$D$8:$D$42,ROW('03.Muestra'!$F$8:$F$42)-MIN(ROW('03.Muestra'!$D$8:$D$42))+1,""),ROW()-740)),"")</f>
        <v>https://www.portcastello.com/</v>
      </c>
      <c r="D755" s="130" t="s">
        <v>37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n" cm="1">
        <f t="array" ref="A756">IFERROR(INDEX('03.Muestra'!$B$8:$B$42,SMALL(IF("Página Web"='03.Muestra'!$D$8:$D$42,ROW('03.Muestra'!$B$8:$B$42)-MIN(ROW('03.Muestra'!$D$8:$D$42))+1,""),ROW()-740)),"")</f>
        <v>1.0</v>
      </c>
      <c r="B756" s="114" t="str" cm="1">
        <f t="array" ref="B756">IFERROR(INDEX('03.Muestra'!$C$8:$C$42,SMALL(IF("Página Web"='03.Muestra'!$D$8:$D$42,ROW('03.Muestra'!$C$8:$C$42)-MIN(ROW('03.Muestra'!$D$8:$D$42))+1,""),ROW()-740)),"")</f>
        <v>Home - PortCastelló</v>
      </c>
      <c r="C756" s="114" t="str" cm="1">
        <f t="array" ref="C756">IFERROR(INDEX('03.Muestra'!$F$8:$F$42,SMALL(IF("Página Web"='03.Muestra'!$D$8:$D$42,ROW('03.Muestra'!$F$8:$F$42)-MIN(ROW('03.Muestra'!$D$8:$D$42))+1,""),ROW()-740)),"")</f>
        <v>https://www.portcastello.com/</v>
      </c>
      <c r="D756" s="130" t="s">
        <v>37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n" cm="1">
        <f t="array" ref="A757">IFERROR(INDEX('03.Muestra'!$B$8:$B$42,SMALL(IF("Página Web"='03.Muestra'!$D$8:$D$42,ROW('03.Muestra'!$B$8:$B$42)-MIN(ROW('03.Muestra'!$D$8:$D$42))+1,""),ROW()-740)),"")</f>
        <v>1.0</v>
      </c>
      <c r="B757" s="114" t="str" cm="1">
        <f t="array" ref="B757">IFERROR(INDEX('03.Muestra'!$C$8:$C$42,SMALL(IF("Página Web"='03.Muestra'!$D$8:$D$42,ROW('03.Muestra'!$C$8:$C$42)-MIN(ROW('03.Muestra'!$D$8:$D$42))+1,""),ROW()-740)),"")</f>
        <v>Home - PortCastelló</v>
      </c>
      <c r="C757" s="114" t="str" cm="1">
        <f t="array" ref="C757">IFERROR(INDEX('03.Muestra'!$F$8:$F$42,SMALL(IF("Página Web"='03.Muestra'!$D$8:$D$42,ROW('03.Muestra'!$F$8:$F$42)-MIN(ROW('03.Muestra'!$D$8:$D$42))+1,""),ROW()-740)),"")</f>
        <v>https://www.portcastello.com/</v>
      </c>
      <c r="D757" s="130" t="s">
        <v>37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n" cm="1">
        <f t="array" ref="A758">IFERROR(INDEX('03.Muestra'!$B$8:$B$42,SMALL(IF("Página Web"='03.Muestra'!$D$8:$D$42,ROW('03.Muestra'!$B$8:$B$42)-MIN(ROW('03.Muestra'!$D$8:$D$42))+1,""),ROW()-740)),"")</f>
        <v>1.0</v>
      </c>
      <c r="B758" s="114" t="str" cm="1">
        <f t="array" ref="B758">IFERROR(INDEX('03.Muestra'!$C$8:$C$42,SMALL(IF("Página Web"='03.Muestra'!$D$8:$D$42,ROW('03.Muestra'!$C$8:$C$42)-MIN(ROW('03.Muestra'!$D$8:$D$42))+1,""),ROW()-740)),"")</f>
        <v>Home - PortCastelló</v>
      </c>
      <c r="C758" s="114" t="str" cm="1">
        <f t="array" ref="C758">IFERROR(INDEX('03.Muestra'!$F$8:$F$42,SMALL(IF("Página Web"='03.Muestra'!$D$8:$D$42,ROW('03.Muestra'!$F$8:$F$42)-MIN(ROW('03.Muestra'!$D$8:$D$42))+1,""),ROW()-740)),"")</f>
        <v>https://www.portcastello.com/</v>
      </c>
      <c r="D758" s="130" t="s">
        <v>37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n" cm="1">
        <f t="array" ref="A759">IFERROR(INDEX('03.Muestra'!$B$8:$B$42,SMALL(IF("Página Web"='03.Muestra'!$D$8:$D$42,ROW('03.Muestra'!$B$8:$B$42)-MIN(ROW('03.Muestra'!$D$8:$D$42))+1,""),ROW()-740)),"")</f>
        <v>1.0</v>
      </c>
      <c r="B759" s="114" t="str" cm="1">
        <f t="array" ref="B759">IFERROR(INDEX('03.Muestra'!$C$8:$C$42,SMALL(IF("Página Web"='03.Muestra'!$D$8:$D$42,ROW('03.Muestra'!$C$8:$C$42)-MIN(ROW('03.Muestra'!$D$8:$D$42))+1,""),ROW()-740)),"")</f>
        <v>Home - PortCastelló</v>
      </c>
      <c r="C759" s="114" t="str" cm="1">
        <f t="array" ref="C759">IFERROR(INDEX('03.Muestra'!$F$8:$F$42,SMALL(IF("Página Web"='03.Muestra'!$D$8:$D$42,ROW('03.Muestra'!$F$8:$F$42)-MIN(ROW('03.Muestra'!$D$8:$D$42))+1,""),ROW()-740)),"")</f>
        <v>https://www.portcastello.com/</v>
      </c>
      <c r="D759" s="130" t="s">
        <v>37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n" cm="1">
        <f t="array" ref="A760">IFERROR(INDEX('03.Muestra'!$B$8:$B$42,SMALL(IF("Página Web"='03.Muestra'!$D$8:$D$42,ROW('03.Muestra'!$B$8:$B$42)-MIN(ROW('03.Muestra'!$D$8:$D$42))+1,""),ROW()-740)),"")</f>
        <v>1.0</v>
      </c>
      <c r="B760" s="114" t="str" cm="1">
        <f t="array" ref="B760">IFERROR(INDEX('03.Muestra'!$C$8:$C$42,SMALL(IF("Página Web"='03.Muestra'!$D$8:$D$42,ROW('03.Muestra'!$C$8:$C$42)-MIN(ROW('03.Muestra'!$D$8:$D$42))+1,""),ROW()-740)),"")</f>
        <v>Home - PortCastelló</v>
      </c>
      <c r="C760" s="114" t="str" cm="1">
        <f t="array" ref="C760">IFERROR(INDEX('03.Muestra'!$F$8:$F$42,SMALL(IF("Página Web"='03.Muestra'!$D$8:$D$42,ROW('03.Muestra'!$F$8:$F$42)-MIN(ROW('03.Muestra'!$D$8:$D$42))+1,""),ROW()-740)),"")</f>
        <v>https://www.portcastello.com/</v>
      </c>
      <c r="D760" s="130" t="s">
        <v>37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n" cm="1">
        <f t="array" ref="A761">IFERROR(INDEX('03.Muestra'!$B$8:$B$42,SMALL(IF("Página Web"='03.Muestra'!$D$8:$D$42,ROW('03.Muestra'!$B$8:$B$42)-MIN(ROW('03.Muestra'!$D$8:$D$42))+1,""),ROW()-740)),"")</f>
        <v>1.0</v>
      </c>
      <c r="B761" s="114" t="str" cm="1">
        <f t="array" ref="B761">IFERROR(INDEX('03.Muestra'!$C$8:$C$42,SMALL(IF("Página Web"='03.Muestra'!$D$8:$D$42,ROW('03.Muestra'!$C$8:$C$42)-MIN(ROW('03.Muestra'!$D$8:$D$42))+1,""),ROW()-740)),"")</f>
        <v>Home - PortCastelló</v>
      </c>
      <c r="C761" s="114" t="str" cm="1">
        <f t="array" ref="C761">IFERROR(INDEX('03.Muestra'!$F$8:$F$42,SMALL(IF("Página Web"='03.Muestra'!$D$8:$D$42,ROW('03.Muestra'!$F$8:$F$42)-MIN(ROW('03.Muestra'!$D$8:$D$42))+1,""),ROW()-740)),"")</f>
        <v>https://www.portcastello.com/</v>
      </c>
      <c r="D761" s="130" t="s">
        <v>37</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n" cm="1">
        <f t="array" ref="A762">IFERROR(INDEX('03.Muestra'!$B$8:$B$42,SMALL(IF("Página Web"='03.Muestra'!$D$8:$D$42,ROW('03.Muestra'!$B$8:$B$42)-MIN(ROW('03.Muestra'!$D$8:$D$42))+1,""),ROW()-740)),"")</f>
        <v>1.0</v>
      </c>
      <c r="B762" s="114" t="str" cm="1">
        <f t="array" ref="B762">IFERROR(INDEX('03.Muestra'!$C$8:$C$42,SMALL(IF("Página Web"='03.Muestra'!$D$8:$D$42,ROW('03.Muestra'!$C$8:$C$42)-MIN(ROW('03.Muestra'!$D$8:$D$42))+1,""),ROW()-740)),"")</f>
        <v>Home - PortCastelló</v>
      </c>
      <c r="C762" s="114" t="str" cm="1">
        <f t="array" ref="C762">IFERROR(INDEX('03.Muestra'!$F$8:$F$42,SMALL(IF("Página Web"='03.Muestra'!$D$8:$D$42,ROW('03.Muestra'!$F$8:$F$42)-MIN(ROW('03.Muestra'!$D$8:$D$42))+1,""),ROW()-740)),"")</f>
        <v>https://www.portcastello.com/</v>
      </c>
      <c r="D762" s="130" t="s">
        <v>37</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n" cm="1">
        <f t="array" ref="A763">IFERROR(INDEX('03.Muestra'!$B$8:$B$42,SMALL(IF("Página Web"='03.Muestra'!$D$8:$D$42,ROW('03.Muestra'!$B$8:$B$42)-MIN(ROW('03.Muestra'!$D$8:$D$42))+1,""),ROW()-740)),"")</f>
        <v>1.0</v>
      </c>
      <c r="B763" s="114" t="str" cm="1">
        <f t="array" ref="B763">IFERROR(INDEX('03.Muestra'!$C$8:$C$42,SMALL(IF("Página Web"='03.Muestra'!$D$8:$D$42,ROW('03.Muestra'!$C$8:$C$42)-MIN(ROW('03.Muestra'!$D$8:$D$42))+1,""),ROW()-740)),"")</f>
        <v>Home - PortCastelló</v>
      </c>
      <c r="C763" s="114" t="str" cm="1">
        <f t="array" ref="C763">IFERROR(INDEX('03.Muestra'!$F$8:$F$42,SMALL(IF("Página Web"='03.Muestra'!$D$8:$D$42,ROW('03.Muestra'!$F$8:$F$42)-MIN(ROW('03.Muestra'!$D$8:$D$42))+1,""),ROW()-740)),"")</f>
        <v>https://www.portcastello.com/</v>
      </c>
      <c r="D763" s="130" t="s">
        <v>37</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n" cm="1">
        <f t="array" ref="A764">IFERROR(INDEX('03.Muestra'!$B$8:$B$42,SMALL(IF("Página Web"='03.Muestra'!$D$8:$D$42,ROW('03.Muestra'!$B$8:$B$42)-MIN(ROW('03.Muestra'!$D$8:$D$42))+1,""),ROW()-740)),"")</f>
        <v>1.0</v>
      </c>
      <c r="B764" s="114" t="str" cm="1">
        <f t="array" ref="B764">IFERROR(INDEX('03.Muestra'!$C$8:$C$42,SMALL(IF("Página Web"='03.Muestra'!$D$8:$D$42,ROW('03.Muestra'!$C$8:$C$42)-MIN(ROW('03.Muestra'!$D$8:$D$42))+1,""),ROW()-740)),"")</f>
        <v>Home - PortCastelló</v>
      </c>
      <c r="C764" s="114" t="str" cm="1">
        <f t="array" ref="C764">IFERROR(INDEX('03.Muestra'!$F$8:$F$42,SMALL(IF("Página Web"='03.Muestra'!$D$8:$D$42,ROW('03.Muestra'!$F$8:$F$42)-MIN(ROW('03.Muestra'!$D$8:$D$42))+1,""),ROW()-740)),"")</f>
        <v>https://www.portcastello.com/</v>
      </c>
      <c r="D764" s="130" t="s">
        <v>37</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n" cm="1">
        <f t="array" ref="A765">IFERROR(INDEX('03.Muestra'!$B$8:$B$42,SMALL(IF("Página Web"='03.Muestra'!$D$8:$D$42,ROW('03.Muestra'!$B$8:$B$42)-MIN(ROW('03.Muestra'!$D$8:$D$42))+1,""),ROW()-740)),"")</f>
        <v>1.0</v>
      </c>
      <c r="B765" s="114" t="str" cm="1">
        <f t="array" ref="B765">IFERROR(INDEX('03.Muestra'!$C$8:$C$42,SMALL(IF("Página Web"='03.Muestra'!$D$8:$D$42,ROW('03.Muestra'!$C$8:$C$42)-MIN(ROW('03.Muestra'!$D$8:$D$42))+1,""),ROW()-740)),"")</f>
        <v>Home - PortCastelló</v>
      </c>
      <c r="C765" s="114" t="str" cm="1">
        <f t="array" ref="C765">IFERROR(INDEX('03.Muestra'!$F$8:$F$42,SMALL(IF("Página Web"='03.Muestra'!$D$8:$D$42,ROW('03.Muestra'!$F$8:$F$42)-MIN(ROW('03.Muestra'!$D$8:$D$42))+1,""),ROW()-740)),"")</f>
        <v>https://www.portcastello.com/</v>
      </c>
      <c r="D765" s="130" t="s">
        <v>37</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n" cm="1">
        <f t="array" ref="A766">IFERROR(INDEX('03.Muestra'!$B$8:$B$42,SMALL(IF("Página Web"='03.Muestra'!$D$8:$D$42,ROW('03.Muestra'!$B$8:$B$42)-MIN(ROW('03.Muestra'!$D$8:$D$42))+1,""),ROW()-740)),"")</f>
        <v>1.0</v>
      </c>
      <c r="B766" s="114" t="str" cm="1">
        <f t="array" ref="B766">IFERROR(INDEX('03.Muestra'!$C$8:$C$42,SMALL(IF("Página Web"='03.Muestra'!$D$8:$D$42,ROW('03.Muestra'!$C$8:$C$42)-MIN(ROW('03.Muestra'!$D$8:$D$42))+1,""),ROW()-740)),"")</f>
        <v>Home - PortCastelló</v>
      </c>
      <c r="C766" s="114" t="str" cm="1">
        <f t="array" ref="C766">IFERROR(INDEX('03.Muestra'!$F$8:$F$42,SMALL(IF("Página Web"='03.Muestra'!$D$8:$D$42,ROW('03.Muestra'!$F$8:$F$42)-MIN(ROW('03.Muestra'!$D$8:$D$42))+1,""),ROW()-740)),"")</f>
        <v>https://www.portcastello.com/</v>
      </c>
      <c r="D766" s="130" t="s">
        <v>37</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n" cm="1">
        <f t="array" ref="A767">IFERROR(INDEX('03.Muestra'!$B$8:$B$42,SMALL(IF("Página Web"='03.Muestra'!$D$8:$D$42,ROW('03.Muestra'!$B$8:$B$42)-MIN(ROW('03.Muestra'!$D$8:$D$42))+1,""),ROW()-740)),"")</f>
        <v>1.0</v>
      </c>
      <c r="B767" s="114" t="str" cm="1">
        <f t="array" ref="B767">IFERROR(INDEX('03.Muestra'!$C$8:$C$42,SMALL(IF("Página Web"='03.Muestra'!$D$8:$D$42,ROW('03.Muestra'!$C$8:$C$42)-MIN(ROW('03.Muestra'!$D$8:$D$42))+1,""),ROW()-740)),"")</f>
        <v>Home - PortCastelló</v>
      </c>
      <c r="C767" s="114" t="str" cm="1">
        <f t="array" ref="C767">IFERROR(INDEX('03.Muestra'!$F$8:$F$42,SMALL(IF("Página Web"='03.Muestra'!$D$8:$D$42,ROW('03.Muestra'!$F$8:$F$42)-MIN(ROW('03.Muestra'!$D$8:$D$42))+1,""),ROW()-740)),"")</f>
        <v>https://www.portcastello.com/</v>
      </c>
      <c r="D767" s="130" t="s">
        <v>37</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n" cm="1">
        <f t="array" ref="A768">IFERROR(INDEX('03.Muestra'!$B$8:$B$42,SMALL(IF("Página Web"='03.Muestra'!$D$8:$D$42,ROW('03.Muestra'!$B$8:$B$42)-MIN(ROW('03.Muestra'!$D$8:$D$42))+1,""),ROW()-740)),"")</f>
        <v>1.0</v>
      </c>
      <c r="B768" s="114" t="str" cm="1">
        <f t="array" ref="B768">IFERROR(INDEX('03.Muestra'!$C$8:$C$42,SMALL(IF("Página Web"='03.Muestra'!$D$8:$D$42,ROW('03.Muestra'!$C$8:$C$42)-MIN(ROW('03.Muestra'!$D$8:$D$42))+1,""),ROW()-740)),"")</f>
        <v>Home - PortCastelló</v>
      </c>
      <c r="C768" s="114" t="str" cm="1">
        <f t="array" ref="C768">IFERROR(INDEX('03.Muestra'!$F$8:$F$42,SMALL(IF("Página Web"='03.Muestra'!$D$8:$D$42,ROW('03.Muestra'!$F$8:$F$42)-MIN(ROW('03.Muestra'!$D$8:$D$42))+1,""),ROW()-740)),"")</f>
        <v>https://www.portcastello.com/</v>
      </c>
      <c r="D768" s="130" t="s">
        <v>37</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n" cm="1">
        <f t="array" ref="A769">IFERROR(INDEX('03.Muestra'!$B$8:$B$42,SMALL(IF("Página Web"='03.Muestra'!$D$8:$D$42,ROW('03.Muestra'!$B$8:$B$42)-MIN(ROW('03.Muestra'!$D$8:$D$42))+1,""),ROW()-740)),"")</f>
        <v>1.0</v>
      </c>
      <c r="B769" s="114" t="str" cm="1">
        <f t="array" ref="B769">IFERROR(INDEX('03.Muestra'!$C$8:$C$42,SMALL(IF("Página Web"='03.Muestra'!$D$8:$D$42,ROW('03.Muestra'!$C$8:$C$42)-MIN(ROW('03.Muestra'!$D$8:$D$42))+1,""),ROW()-740)),"")</f>
        <v>Home - PortCastelló</v>
      </c>
      <c r="C769" s="114" t="str" cm="1">
        <f t="array" ref="C769">IFERROR(INDEX('03.Muestra'!$F$8:$F$42,SMALL(IF("Página Web"='03.Muestra'!$D$8:$D$42,ROW('03.Muestra'!$F$8:$F$42)-MIN(ROW('03.Muestra'!$D$8:$D$42))+1,""),ROW()-740)),"")</f>
        <v>https://www.portcastello.com/</v>
      </c>
      <c r="D769" s="130" t="s">
        <v>37</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n" cm="1">
        <f t="array" ref="A770">IFERROR(INDEX('03.Muestra'!$B$8:$B$42,SMALL(IF("Página Web"='03.Muestra'!$D$8:$D$42,ROW('03.Muestra'!$B$8:$B$42)-MIN(ROW('03.Muestra'!$D$8:$D$42))+1,""),ROW()-740)),"")</f>
        <v>1.0</v>
      </c>
      <c r="B770" s="114" t="str" cm="1">
        <f t="array" ref="B770">IFERROR(INDEX('03.Muestra'!$C$8:$C$42,SMALL(IF("Página Web"='03.Muestra'!$D$8:$D$42,ROW('03.Muestra'!$C$8:$C$42)-MIN(ROW('03.Muestra'!$D$8:$D$42))+1,""),ROW()-740)),"")</f>
        <v>Home - PortCastelló</v>
      </c>
      <c r="C770" s="114" t="str" cm="1">
        <f t="array" ref="C770">IFERROR(INDEX('03.Muestra'!$F$8:$F$42,SMALL(IF("Página Web"='03.Muestra'!$D$8:$D$42,ROW('03.Muestra'!$F$8:$F$42)-MIN(ROW('03.Muestra'!$D$8:$D$42))+1,""),ROW()-740)),"")</f>
        <v>https://www.portcastello.com/</v>
      </c>
      <c r="D770" s="130" t="s">
        <v>37</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n" cm="1">
        <f t="array" ref="A771">IFERROR(INDEX('03.Muestra'!$B$8:$B$42,SMALL(IF("Página Web"='03.Muestra'!$D$8:$D$42,ROW('03.Muestra'!$B$8:$B$42)-MIN(ROW('03.Muestra'!$D$8:$D$42))+1,""),ROW()-740)),"")</f>
        <v>1.0</v>
      </c>
      <c r="B771" s="114" t="str" cm="1">
        <f t="array" ref="B771">IFERROR(INDEX('03.Muestra'!$C$8:$C$42,SMALL(IF("Página Web"='03.Muestra'!$D$8:$D$42,ROW('03.Muestra'!$C$8:$C$42)-MIN(ROW('03.Muestra'!$D$8:$D$42))+1,""),ROW()-740)),"")</f>
        <v>Home - PortCastelló</v>
      </c>
      <c r="C771" s="114" t="str" cm="1">
        <f t="array" ref="C771">IFERROR(INDEX('03.Muestra'!$F$8:$F$42,SMALL(IF("Página Web"='03.Muestra'!$D$8:$D$42,ROW('03.Muestra'!$F$8:$F$42)-MIN(ROW('03.Muestra'!$D$8:$D$42))+1,""),ROW()-740)),"")</f>
        <v>https://www.portcastello.com/</v>
      </c>
      <c r="D771" s="130" t="s">
        <v>37</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n" cm="1">
        <f t="array" ref="A772">IFERROR(INDEX('03.Muestra'!$B$8:$B$42,SMALL(IF("Página Web"='03.Muestra'!$D$8:$D$42,ROW('03.Muestra'!$B$8:$B$42)-MIN(ROW('03.Muestra'!$D$8:$D$42))+1,""),ROW()-740)),"")</f>
        <v>1.0</v>
      </c>
      <c r="B772" s="114" t="str" cm="1">
        <f t="array" ref="B772">IFERROR(INDEX('03.Muestra'!$C$8:$C$42,SMALL(IF("Página Web"='03.Muestra'!$D$8:$D$42,ROW('03.Muestra'!$C$8:$C$42)-MIN(ROW('03.Muestra'!$D$8:$D$42))+1,""),ROW()-740)),"")</f>
        <v>Home - PortCastelló</v>
      </c>
      <c r="C772" s="114" t="str" cm="1">
        <f t="array" ref="C772">IFERROR(INDEX('03.Muestra'!$F$8:$F$42,SMALL(IF("Página Web"='03.Muestra'!$D$8:$D$42,ROW('03.Muestra'!$F$8:$F$42)-MIN(ROW('03.Muestra'!$D$8:$D$42))+1,""),ROW()-740)),"")</f>
        <v>https://www.portcastello.com/</v>
      </c>
      <c r="D772" s="130" t="s">
        <v>37</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n" cm="1">
        <f t="array" ref="A773">IFERROR(INDEX('03.Muestra'!$B$8:$B$42,SMALL(IF("Página Web"='03.Muestra'!$D$8:$D$42,ROW('03.Muestra'!$B$8:$B$42)-MIN(ROW('03.Muestra'!$D$8:$D$42))+1,""),ROW()-740)),"")</f>
        <v>1.0</v>
      </c>
      <c r="B773" s="114" t="str" cm="1">
        <f t="array" ref="B773">IFERROR(INDEX('03.Muestra'!$C$8:$C$42,SMALL(IF("Página Web"='03.Muestra'!$D$8:$D$42,ROW('03.Muestra'!$C$8:$C$42)-MIN(ROW('03.Muestra'!$D$8:$D$42))+1,""),ROW()-740)),"")</f>
        <v>Home - PortCastelló</v>
      </c>
      <c r="C773" s="114" t="str" cm="1">
        <f t="array" ref="C773">IFERROR(INDEX('03.Muestra'!$F$8:$F$42,SMALL(IF("Página Web"='03.Muestra'!$D$8:$D$42,ROW('03.Muestra'!$F$8:$F$42)-MIN(ROW('03.Muestra'!$D$8:$D$42))+1,""),ROW()-740)),"")</f>
        <v>https://www.portcastello.com/</v>
      </c>
      <c r="D773" s="130" t="s">
        <v>37</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IFERROR(INDEX('03.Muestra'!$B$8:$B$42,SMALL(IF("Página Web"='03.Muestra'!$D$8:$D$42,ROW('03.Muestra'!$B$8:$B$42)-MIN(ROW('03.Muestra'!$D$8:$D$42))+1,""),ROW()-740)),"")</f>
        <v/>
      </c>
      <c r="B774" s="114" t="str" cm="1">
        <f t="array" ref="B774">IFERROR(INDEX('03.Muestra'!$C$8:$C$42,SMALL(IF("Página Web"='03.Muestra'!$D$8:$D$42,ROW('03.Muestra'!$C$8:$C$42)-MIN(ROW('03.Muestra'!$D$8:$D$42))+1,""),ROW()-740)),"")</f>
        <v/>
      </c>
      <c r="C774" s="114" t="str" cm="1">
        <f t="array" ref="C774">IFERROR(INDEX('03.Muestra'!$F$8:$F$42,SMALL(IF("Página Web"='03.Muestra'!$D$8:$D$42,ROW('03.Muestra'!$F$8:$F$42)-MIN(ROW('03.Muestra'!$D$8:$D$42))+1,""),ROW()-740)),"")</f>
        <v/>
      </c>
      <c r="D774" s="130" t="str">
        <f t="shared" si="39" ref="D774:D775">IF(AND(B774&lt;&gt;"",C774&lt;&gt;""),"N/T","")</f>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268</v>
      </c>
      <c r="B778" s="24" t="s">
        <v>90</v>
      </c>
      <c r="C778" s="25" t="s">
        <v>393</v>
      </c>
      <c r="D778" s="26" t="s">
        <v>32</v>
      </c>
      <c r="E778" s="123"/>
      <c r="K778" s="233"/>
      <c r="L778" s="19"/>
      <c r="M778" s="19"/>
      <c r="N778" s="19"/>
      <c r="O778" s="19"/>
      <c r="P778" s="19"/>
      <c r="Q778" s="19"/>
      <c r="R778" s="19"/>
      <c r="S778" s="19"/>
      <c r="T778" s="19"/>
      <c r="U778" s="19"/>
      <c r="V778" s="19"/>
      <c r="W778" s="19"/>
      <c r="X778" s="19"/>
      <c r="Y778" s="19"/>
    </row>
    <row r="779" spans="1:25" ht="12" customHeight="1">
      <c r="A779" s="219" t="n" cm="1">
        <f t="array" ref="A779">IFERROR(INDEX('03.Muestra'!$B$8:$B$42,SMALL(IF("Página Web"='03.Muestra'!$D$8:$D$42,ROW('03.Muestra'!$B$8:$B$42)-MIN(ROW('03.Muestra'!$D$8:$D$42))+1,""),ROW()-778)),"")</f>
        <v>1.0</v>
      </c>
      <c r="B779" s="114" t="str" cm="1">
        <f t="array" ref="B779">IFERROR(INDEX('03.Muestra'!$C$8:$C$42,SMALL(IF("Página Web"='03.Muestra'!$D$8:$D$42,ROW('03.Muestra'!$C$8:$C$42)-MIN(ROW('03.Muestra'!$D$8:$D$42))+1,""),ROW()-778)),"")</f>
        <v>Home - PortCastelló</v>
      </c>
      <c r="C779" s="114" t="str" cm="1">
        <f t="array" ref="C779">IFERROR(INDEX('03.Muestra'!$F$8:$F$42,SMALL(IF("Página Web"='03.Muestra'!$D$8:$D$42,ROW('03.Muestra'!$F$8:$F$42)-MIN(ROW('03.Muestra'!$D$8:$D$42))+1,""),ROW()-778)),"")</f>
        <v>https://www.portcastello.com/</v>
      </c>
      <c r="D779" s="130" t="str">
        <f>IF(AND(B779&lt;&gt;"",C779&lt;&gt;""),"N/T","")</f>
        <v>N/T</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2" customHeight="1">
      <c r="A780" s="219" t="n" cm="1">
        <f t="array" ref="A780">IFERROR(INDEX('03.Muestra'!$B$8:$B$42,SMALL(IF("Página Web"='03.Muestra'!$D$8:$D$42,ROW('03.Muestra'!$B$8:$B$42)-MIN(ROW('03.Muestra'!$D$8:$D$42))+1,""),ROW()-778)),"")</f>
        <v>1.0</v>
      </c>
      <c r="B780" s="114" t="str" cm="1">
        <f t="array" ref="B780">IFERROR(INDEX('03.Muestra'!$C$8:$C$42,SMALL(IF("Página Web"='03.Muestra'!$D$8:$D$42,ROW('03.Muestra'!$C$8:$C$42)-MIN(ROW('03.Muestra'!$D$8:$D$42))+1,""),ROW()-778)),"")</f>
        <v>Home - PortCastelló</v>
      </c>
      <c r="C780" s="114" t="str" cm="1">
        <f t="array" ref="C780">IFERROR(INDEX('03.Muestra'!$F$8:$F$42,SMALL(IF("Página Web"='03.Muestra'!$D$8:$D$42,ROW('03.Muestra'!$F$8:$F$42)-MIN(ROW('03.Muestra'!$D$8:$D$42))+1,""),ROW()-778)),"")</f>
        <v>https://www.portcastello.com/</v>
      </c>
      <c r="D780" s="130" t="str">
        <f t="shared" ref="D780:D813" si="41">IF(AND(B780&lt;&gt;"",C780&lt;&gt;""),"N/T","")</f>
        <v>N/T</v>
      </c>
      <c r="E780" s="107" t="str">
        <f t="shared" si="40"/>
        <v/>
      </c>
      <c r="F780" s="120" t="n">
        <f ca="1">COUNTIF($D779:INDIRECT("$D" &amp;  SUM(ROW()-1,'03.Muestra'!$D$45)-1),F779)</f>
        <v>33.0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IF(COUNTIF('03.Muestra'!$D$8:$D$42,"Página Web")=0,0,COUNTBLANK($D779:INDIRECT("$D" &amp;  SUM(ROW()-1,COUNTIF('03.Muestra'!$D$8:$D$42,"Página Web"))-1)))</f>
        <v>0.0</v>
      </c>
      <c r="L780" s="19"/>
      <c r="M780" s="19"/>
      <c r="N780" s="19"/>
      <c r="O780" s="19"/>
      <c r="P780" s="19"/>
      <c r="Q780" s="19"/>
      <c r="R780" s="19"/>
      <c r="S780" s="19"/>
      <c r="T780" s="19"/>
      <c r="U780" s="19"/>
      <c r="V780" s="19"/>
      <c r="W780" s="19"/>
      <c r="X780" s="19"/>
      <c r="Y780" s="19"/>
    </row>
    <row r="781" spans="1:25" ht="12" customHeight="1">
      <c r="A781" s="219" t="n" cm="1">
        <f t="array" ref="A781">IFERROR(INDEX('03.Muestra'!$B$8:$B$42,SMALL(IF("Página Web"='03.Muestra'!$D$8:$D$42,ROW('03.Muestra'!$B$8:$B$42)-MIN(ROW('03.Muestra'!$D$8:$D$42))+1,""),ROW()-778)),"")</f>
        <v>1.0</v>
      </c>
      <c r="B781" s="114" t="str" cm="1">
        <f t="array" ref="B781">IFERROR(INDEX('03.Muestra'!$C$8:$C$42,SMALL(IF("Página Web"='03.Muestra'!$D$8:$D$42,ROW('03.Muestra'!$C$8:$C$42)-MIN(ROW('03.Muestra'!$D$8:$D$42))+1,""),ROW()-778)),"")</f>
        <v>Home - PortCastelló</v>
      </c>
      <c r="C781" s="114" t="str" cm="1">
        <f t="array" ref="C781">IFERROR(INDEX('03.Muestra'!$F$8:$F$42,SMALL(IF("Página Web"='03.Muestra'!$D$8:$D$42,ROW('03.Muestra'!$F$8:$F$42)-MIN(ROW('03.Muestra'!$D$8:$D$42))+1,""),ROW()-778)),"")</f>
        <v>https://www.portcastello.com/</v>
      </c>
      <c r="D781" s="130" t="str">
        <f t="shared" si="41"/>
        <v>N/T</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t="n" cm="1">
        <f t="array" ref="A782">IFERROR(INDEX('03.Muestra'!$B$8:$B$42,SMALL(IF("Página Web"='03.Muestra'!$D$8:$D$42,ROW('03.Muestra'!$B$8:$B$42)-MIN(ROW('03.Muestra'!$D$8:$D$42))+1,""),ROW()-778)),"")</f>
        <v>1.0</v>
      </c>
      <c r="B782" s="114" t="str" cm="1">
        <f t="array" ref="B782">IFERROR(INDEX('03.Muestra'!$C$8:$C$42,SMALL(IF("Página Web"='03.Muestra'!$D$8:$D$42,ROW('03.Muestra'!$C$8:$C$42)-MIN(ROW('03.Muestra'!$D$8:$D$42))+1,""),ROW()-778)),"")</f>
        <v>Home - PortCastelló</v>
      </c>
      <c r="C782" s="114" t="str" cm="1">
        <f t="array" ref="C782">IFERROR(INDEX('03.Muestra'!$F$8:$F$42,SMALL(IF("Página Web"='03.Muestra'!$D$8:$D$42,ROW('03.Muestra'!$F$8:$F$42)-MIN(ROW('03.Muestra'!$D$8:$D$42))+1,""),ROW()-778)),"")</f>
        <v>https://www.portcastello.com/</v>
      </c>
      <c r="D782" s="130" t="str">
        <f t="shared" si="41"/>
        <v>N/T</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t="n" cm="1">
        <f t="array" ref="A783">IFERROR(INDEX('03.Muestra'!$B$8:$B$42,SMALL(IF("Página Web"='03.Muestra'!$D$8:$D$42,ROW('03.Muestra'!$B$8:$B$42)-MIN(ROW('03.Muestra'!$D$8:$D$42))+1,""),ROW()-778)),"")</f>
        <v>1.0</v>
      </c>
      <c r="B783" s="114" t="str" cm="1">
        <f t="array" ref="B783">IFERROR(INDEX('03.Muestra'!$C$8:$C$42,SMALL(IF("Página Web"='03.Muestra'!$D$8:$D$42,ROW('03.Muestra'!$C$8:$C$42)-MIN(ROW('03.Muestra'!$D$8:$D$42))+1,""),ROW()-778)),"")</f>
        <v>Home - PortCastelló</v>
      </c>
      <c r="C783" s="114" t="str" cm="1">
        <f t="array" ref="C783">IFERROR(INDEX('03.Muestra'!$F$8:$F$42,SMALL(IF("Página Web"='03.Muestra'!$D$8:$D$42,ROW('03.Muestra'!$F$8:$F$42)-MIN(ROW('03.Muestra'!$D$8:$D$42))+1,""),ROW()-778)),"")</f>
        <v>https://www.portcastello.com/</v>
      </c>
      <c r="D783" s="130" t="str">
        <f t="shared" si="41"/>
        <v>N/T</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t="n" cm="1">
        <f t="array" ref="A784">IFERROR(INDEX('03.Muestra'!$B$8:$B$42,SMALL(IF("Página Web"='03.Muestra'!$D$8:$D$42,ROW('03.Muestra'!$B$8:$B$42)-MIN(ROW('03.Muestra'!$D$8:$D$42))+1,""),ROW()-778)),"")</f>
        <v>1.0</v>
      </c>
      <c r="B784" s="114" t="str" cm="1">
        <f t="array" ref="B784">IFERROR(INDEX('03.Muestra'!$C$8:$C$42,SMALL(IF("Página Web"='03.Muestra'!$D$8:$D$42,ROW('03.Muestra'!$C$8:$C$42)-MIN(ROW('03.Muestra'!$D$8:$D$42))+1,""),ROW()-778)),"")</f>
        <v>Home - PortCastelló</v>
      </c>
      <c r="C784" s="114" t="str" cm="1">
        <f t="array" ref="C784">IFERROR(INDEX('03.Muestra'!$F$8:$F$42,SMALL(IF("Página Web"='03.Muestra'!$D$8:$D$42,ROW('03.Muestra'!$F$8:$F$42)-MIN(ROW('03.Muestra'!$D$8:$D$42))+1,""),ROW()-778)),"")</f>
        <v>https://www.portcastello.com/</v>
      </c>
      <c r="D784" s="130" t="str">
        <f t="shared" si="41"/>
        <v>N/T</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t="n" cm="1">
        <f t="array" ref="A785">IFERROR(INDEX('03.Muestra'!$B$8:$B$42,SMALL(IF("Página Web"='03.Muestra'!$D$8:$D$42,ROW('03.Muestra'!$B$8:$B$42)-MIN(ROW('03.Muestra'!$D$8:$D$42))+1,""),ROW()-778)),"")</f>
        <v>1.0</v>
      </c>
      <c r="B785" s="114" t="str" cm="1">
        <f t="array" ref="B785">IFERROR(INDEX('03.Muestra'!$C$8:$C$42,SMALL(IF("Página Web"='03.Muestra'!$D$8:$D$42,ROW('03.Muestra'!$C$8:$C$42)-MIN(ROW('03.Muestra'!$D$8:$D$42))+1,""),ROW()-778)),"")</f>
        <v>Home - PortCastelló</v>
      </c>
      <c r="C785" s="114" t="str" cm="1">
        <f t="array" ref="C785">IFERROR(INDEX('03.Muestra'!$F$8:$F$42,SMALL(IF("Página Web"='03.Muestra'!$D$8:$D$42,ROW('03.Muestra'!$F$8:$F$42)-MIN(ROW('03.Muestra'!$D$8:$D$42))+1,""),ROW()-778)),"")</f>
        <v>https://www.portcastello.com/</v>
      </c>
      <c r="D785" s="130" t="str">
        <f t="shared" si="41"/>
        <v>N/T</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t="n" cm="1">
        <f t="array" ref="A786">IFERROR(INDEX('03.Muestra'!$B$8:$B$42,SMALL(IF("Página Web"='03.Muestra'!$D$8:$D$42,ROW('03.Muestra'!$B$8:$B$42)-MIN(ROW('03.Muestra'!$D$8:$D$42))+1,""),ROW()-778)),"")</f>
        <v>1.0</v>
      </c>
      <c r="B786" s="114" t="str" cm="1">
        <f t="array" ref="B786">IFERROR(INDEX('03.Muestra'!$C$8:$C$42,SMALL(IF("Página Web"='03.Muestra'!$D$8:$D$42,ROW('03.Muestra'!$C$8:$C$42)-MIN(ROW('03.Muestra'!$D$8:$D$42))+1,""),ROW()-778)),"")</f>
        <v>Home - PortCastelló</v>
      </c>
      <c r="C786" s="114" t="str" cm="1">
        <f t="array" ref="C786">IFERROR(INDEX('03.Muestra'!$F$8:$F$42,SMALL(IF("Página Web"='03.Muestra'!$D$8:$D$42,ROW('03.Muestra'!$F$8:$F$42)-MIN(ROW('03.Muestra'!$D$8:$D$42))+1,""),ROW()-778)),"")</f>
        <v>https://www.portcastello.com/</v>
      </c>
      <c r="D786" s="130" t="str">
        <f t="shared" si="41"/>
        <v>N/T</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n" cm="1">
        <f t="array" ref="A787">IFERROR(INDEX('03.Muestra'!$B$8:$B$42,SMALL(IF("Página Web"='03.Muestra'!$D$8:$D$42,ROW('03.Muestra'!$B$8:$B$42)-MIN(ROW('03.Muestra'!$D$8:$D$42))+1,""),ROW()-778)),"")</f>
        <v>1.0</v>
      </c>
      <c r="B787" s="114" t="str" cm="1">
        <f t="array" ref="B787">IFERROR(INDEX('03.Muestra'!$C$8:$C$42,SMALL(IF("Página Web"='03.Muestra'!$D$8:$D$42,ROW('03.Muestra'!$C$8:$C$42)-MIN(ROW('03.Muestra'!$D$8:$D$42))+1,""),ROW()-778)),"")</f>
        <v>Home - PortCastelló</v>
      </c>
      <c r="C787" s="114" t="str" cm="1">
        <f t="array" ref="C787">IFERROR(INDEX('03.Muestra'!$F$8:$F$42,SMALL(IF("Página Web"='03.Muestra'!$D$8:$D$42,ROW('03.Muestra'!$F$8:$F$42)-MIN(ROW('03.Muestra'!$D$8:$D$42))+1,""),ROW()-778)),"")</f>
        <v>https://www.portcastello.com/</v>
      </c>
      <c r="D787" s="130" t="str">
        <f t="shared" si="41"/>
        <v>N/T</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n" cm="1">
        <f t="array" ref="A788">IFERROR(INDEX('03.Muestra'!$B$8:$B$42,SMALL(IF("Página Web"='03.Muestra'!$D$8:$D$42,ROW('03.Muestra'!$B$8:$B$42)-MIN(ROW('03.Muestra'!$D$8:$D$42))+1,""),ROW()-778)),"")</f>
        <v>1.0</v>
      </c>
      <c r="B788" s="114" t="str" cm="1">
        <f t="array" ref="B788">IFERROR(INDEX('03.Muestra'!$C$8:$C$42,SMALL(IF("Página Web"='03.Muestra'!$D$8:$D$42,ROW('03.Muestra'!$C$8:$C$42)-MIN(ROW('03.Muestra'!$D$8:$D$42))+1,""),ROW()-778)),"")</f>
        <v>Home - PortCastelló</v>
      </c>
      <c r="C788" s="114" t="str" cm="1">
        <f t="array" ref="C788">IFERROR(INDEX('03.Muestra'!$F$8:$F$42,SMALL(IF("Página Web"='03.Muestra'!$D$8:$D$42,ROW('03.Muestra'!$F$8:$F$42)-MIN(ROW('03.Muestra'!$D$8:$D$42))+1,""),ROW()-778)),"")</f>
        <v>https://www.portcastello.com/</v>
      </c>
      <c r="D788" s="130" t="str">
        <f t="shared" si="41"/>
        <v>N/T</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n" cm="1">
        <f t="array" ref="A789">IFERROR(INDEX('03.Muestra'!$B$8:$B$42,SMALL(IF("Página Web"='03.Muestra'!$D$8:$D$42,ROW('03.Muestra'!$B$8:$B$42)-MIN(ROW('03.Muestra'!$D$8:$D$42))+1,""),ROW()-778)),"")</f>
        <v>1.0</v>
      </c>
      <c r="B789" s="114" t="str" cm="1">
        <f t="array" ref="B789">IFERROR(INDEX('03.Muestra'!$C$8:$C$42,SMALL(IF("Página Web"='03.Muestra'!$D$8:$D$42,ROW('03.Muestra'!$C$8:$C$42)-MIN(ROW('03.Muestra'!$D$8:$D$42))+1,""),ROW()-778)),"")</f>
        <v>Home - PortCastelló</v>
      </c>
      <c r="C789" s="114" t="str" cm="1">
        <f t="array" ref="C789">IFERROR(INDEX('03.Muestra'!$F$8:$F$42,SMALL(IF("Página Web"='03.Muestra'!$D$8:$D$42,ROW('03.Muestra'!$F$8:$F$42)-MIN(ROW('03.Muestra'!$D$8:$D$42))+1,""),ROW()-778)),"")</f>
        <v>https://www.portcastello.com/</v>
      </c>
      <c r="D789" s="130" t="str">
        <f t="shared" si="41"/>
        <v>N/T</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n" cm="1">
        <f t="array" ref="A790">IFERROR(INDEX('03.Muestra'!$B$8:$B$42,SMALL(IF("Página Web"='03.Muestra'!$D$8:$D$42,ROW('03.Muestra'!$B$8:$B$42)-MIN(ROW('03.Muestra'!$D$8:$D$42))+1,""),ROW()-778)),"")</f>
        <v>1.0</v>
      </c>
      <c r="B790" s="114" t="str" cm="1">
        <f t="array" ref="B790">IFERROR(INDEX('03.Muestra'!$C$8:$C$42,SMALL(IF("Página Web"='03.Muestra'!$D$8:$D$42,ROW('03.Muestra'!$C$8:$C$42)-MIN(ROW('03.Muestra'!$D$8:$D$42))+1,""),ROW()-778)),"")</f>
        <v>Home - PortCastelló</v>
      </c>
      <c r="C790" s="114" t="str" cm="1">
        <f t="array" ref="C790">IFERROR(INDEX('03.Muestra'!$F$8:$F$42,SMALL(IF("Página Web"='03.Muestra'!$D$8:$D$42,ROW('03.Muestra'!$F$8:$F$42)-MIN(ROW('03.Muestra'!$D$8:$D$42))+1,""),ROW()-778)),"")</f>
        <v>https://www.portcastello.com/</v>
      </c>
      <c r="D790" s="130" t="str">
        <f t="shared" si="41"/>
        <v>N/T</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n" cm="1">
        <f t="array" ref="A791">IFERROR(INDEX('03.Muestra'!$B$8:$B$42,SMALL(IF("Página Web"='03.Muestra'!$D$8:$D$42,ROW('03.Muestra'!$B$8:$B$42)-MIN(ROW('03.Muestra'!$D$8:$D$42))+1,""),ROW()-778)),"")</f>
        <v>1.0</v>
      </c>
      <c r="B791" s="114" t="str" cm="1">
        <f t="array" ref="B791">IFERROR(INDEX('03.Muestra'!$C$8:$C$42,SMALL(IF("Página Web"='03.Muestra'!$D$8:$D$42,ROW('03.Muestra'!$C$8:$C$42)-MIN(ROW('03.Muestra'!$D$8:$D$42))+1,""),ROW()-778)),"")</f>
        <v>Home - PortCastelló</v>
      </c>
      <c r="C791" s="114" t="str" cm="1">
        <f t="array" ref="C791">IFERROR(INDEX('03.Muestra'!$F$8:$F$42,SMALL(IF("Página Web"='03.Muestra'!$D$8:$D$42,ROW('03.Muestra'!$F$8:$F$42)-MIN(ROW('03.Muestra'!$D$8:$D$42))+1,""),ROW()-778)),"")</f>
        <v>https://www.portcastello.com/</v>
      </c>
      <c r="D791" s="130" t="str">
        <f t="shared" si="41"/>
        <v>N/T</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n" cm="1">
        <f t="array" ref="A792">IFERROR(INDEX('03.Muestra'!$B$8:$B$42,SMALL(IF("Página Web"='03.Muestra'!$D$8:$D$42,ROW('03.Muestra'!$B$8:$B$42)-MIN(ROW('03.Muestra'!$D$8:$D$42))+1,""),ROW()-778)),"")</f>
        <v>1.0</v>
      </c>
      <c r="B792" s="114" t="str" cm="1">
        <f t="array" ref="B792">IFERROR(INDEX('03.Muestra'!$C$8:$C$42,SMALL(IF("Página Web"='03.Muestra'!$D$8:$D$42,ROW('03.Muestra'!$C$8:$C$42)-MIN(ROW('03.Muestra'!$D$8:$D$42))+1,""),ROW()-778)),"")</f>
        <v>Home - PortCastelló</v>
      </c>
      <c r="C792" s="114" t="str" cm="1">
        <f t="array" ref="C792">IFERROR(INDEX('03.Muestra'!$F$8:$F$42,SMALL(IF("Página Web"='03.Muestra'!$D$8:$D$42,ROW('03.Muestra'!$F$8:$F$42)-MIN(ROW('03.Muestra'!$D$8:$D$42))+1,""),ROW()-778)),"")</f>
        <v>https://www.portcastello.com/</v>
      </c>
      <c r="D792" s="130" t="str">
        <f t="shared" si="41"/>
        <v>N/T</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n" cm="1">
        <f t="array" ref="A793">IFERROR(INDEX('03.Muestra'!$B$8:$B$42,SMALL(IF("Página Web"='03.Muestra'!$D$8:$D$42,ROW('03.Muestra'!$B$8:$B$42)-MIN(ROW('03.Muestra'!$D$8:$D$42))+1,""),ROW()-778)),"")</f>
        <v>1.0</v>
      </c>
      <c r="B793" s="114" t="str" cm="1">
        <f t="array" ref="B793">IFERROR(INDEX('03.Muestra'!$C$8:$C$42,SMALL(IF("Página Web"='03.Muestra'!$D$8:$D$42,ROW('03.Muestra'!$C$8:$C$42)-MIN(ROW('03.Muestra'!$D$8:$D$42))+1,""),ROW()-778)),"")</f>
        <v>Home - PortCastelló</v>
      </c>
      <c r="C793" s="114" t="str" cm="1">
        <f t="array" ref="C793">IFERROR(INDEX('03.Muestra'!$F$8:$F$42,SMALL(IF("Página Web"='03.Muestra'!$D$8:$D$42,ROW('03.Muestra'!$F$8:$F$42)-MIN(ROW('03.Muestra'!$D$8:$D$42))+1,""),ROW()-778)),"")</f>
        <v>https://www.portcastello.com/</v>
      </c>
      <c r="D793" s="130" t="str">
        <f t="shared" si="41"/>
        <v>N/T</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n" cm="1">
        <f t="array" ref="A794">IFERROR(INDEX('03.Muestra'!$B$8:$B$42,SMALL(IF("Página Web"='03.Muestra'!$D$8:$D$42,ROW('03.Muestra'!$B$8:$B$42)-MIN(ROW('03.Muestra'!$D$8:$D$42))+1,""),ROW()-778)),"")</f>
        <v>1.0</v>
      </c>
      <c r="B794" s="114" t="str" cm="1">
        <f t="array" ref="B794">IFERROR(INDEX('03.Muestra'!$C$8:$C$42,SMALL(IF("Página Web"='03.Muestra'!$D$8:$D$42,ROW('03.Muestra'!$C$8:$C$42)-MIN(ROW('03.Muestra'!$D$8:$D$42))+1,""),ROW()-778)),"")</f>
        <v>Home - PortCastelló</v>
      </c>
      <c r="C794" s="114" t="str" cm="1">
        <f t="array" ref="C794">IFERROR(INDEX('03.Muestra'!$F$8:$F$42,SMALL(IF("Página Web"='03.Muestra'!$D$8:$D$42,ROW('03.Muestra'!$F$8:$F$42)-MIN(ROW('03.Muestra'!$D$8:$D$42))+1,""),ROW()-778)),"")</f>
        <v>https://www.portcastello.com/</v>
      </c>
      <c r="D794" s="130" t="str">
        <f t="shared" si="41"/>
        <v>N/T</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n" cm="1">
        <f t="array" ref="A795">IFERROR(INDEX('03.Muestra'!$B$8:$B$42,SMALL(IF("Página Web"='03.Muestra'!$D$8:$D$42,ROW('03.Muestra'!$B$8:$B$42)-MIN(ROW('03.Muestra'!$D$8:$D$42))+1,""),ROW()-778)),"")</f>
        <v>1.0</v>
      </c>
      <c r="B795" s="114" t="str" cm="1">
        <f t="array" ref="B795">IFERROR(INDEX('03.Muestra'!$C$8:$C$42,SMALL(IF("Página Web"='03.Muestra'!$D$8:$D$42,ROW('03.Muestra'!$C$8:$C$42)-MIN(ROW('03.Muestra'!$D$8:$D$42))+1,""),ROW()-778)),"")</f>
        <v>Home - PortCastelló</v>
      </c>
      <c r="C795" s="114" t="str" cm="1">
        <f t="array" ref="C795">IFERROR(INDEX('03.Muestra'!$F$8:$F$42,SMALL(IF("Página Web"='03.Muestra'!$D$8:$D$42,ROW('03.Muestra'!$F$8:$F$42)-MIN(ROW('03.Muestra'!$D$8:$D$42))+1,""),ROW()-778)),"")</f>
        <v>https://www.portcastello.com/</v>
      </c>
      <c r="D795" s="130" t="str">
        <f t="shared" si="41"/>
        <v>N/T</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n" cm="1">
        <f t="array" ref="A796">IFERROR(INDEX('03.Muestra'!$B$8:$B$42,SMALL(IF("Página Web"='03.Muestra'!$D$8:$D$42,ROW('03.Muestra'!$B$8:$B$42)-MIN(ROW('03.Muestra'!$D$8:$D$42))+1,""),ROW()-778)),"")</f>
        <v>1.0</v>
      </c>
      <c r="B796" s="114" t="str" cm="1">
        <f t="array" ref="B796">IFERROR(INDEX('03.Muestra'!$C$8:$C$42,SMALL(IF("Página Web"='03.Muestra'!$D$8:$D$42,ROW('03.Muestra'!$C$8:$C$42)-MIN(ROW('03.Muestra'!$D$8:$D$42))+1,""),ROW()-778)),"")</f>
        <v>Home - PortCastelló</v>
      </c>
      <c r="C796" s="114" t="str" cm="1">
        <f t="array" ref="C796">IFERROR(INDEX('03.Muestra'!$F$8:$F$42,SMALL(IF("Página Web"='03.Muestra'!$D$8:$D$42,ROW('03.Muestra'!$F$8:$F$42)-MIN(ROW('03.Muestra'!$D$8:$D$42))+1,""),ROW()-778)),"")</f>
        <v>https://www.portcastello.com/</v>
      </c>
      <c r="D796" s="130" t="str">
        <f t="shared" si="41"/>
        <v>N/T</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n" cm="1">
        <f t="array" ref="A797">IFERROR(INDEX('03.Muestra'!$B$8:$B$42,SMALL(IF("Página Web"='03.Muestra'!$D$8:$D$42,ROW('03.Muestra'!$B$8:$B$42)-MIN(ROW('03.Muestra'!$D$8:$D$42))+1,""),ROW()-778)),"")</f>
        <v>1.0</v>
      </c>
      <c r="B797" s="114" t="str" cm="1">
        <f t="array" ref="B797">IFERROR(INDEX('03.Muestra'!$C$8:$C$42,SMALL(IF("Página Web"='03.Muestra'!$D$8:$D$42,ROW('03.Muestra'!$C$8:$C$42)-MIN(ROW('03.Muestra'!$D$8:$D$42))+1,""),ROW()-778)),"")</f>
        <v>Home - PortCastelló</v>
      </c>
      <c r="C797" s="114" t="str" cm="1">
        <f t="array" ref="C797">IFERROR(INDEX('03.Muestra'!$F$8:$F$42,SMALL(IF("Página Web"='03.Muestra'!$D$8:$D$42,ROW('03.Muestra'!$F$8:$F$42)-MIN(ROW('03.Muestra'!$D$8:$D$42))+1,""),ROW()-778)),"")</f>
        <v>https://www.portcastello.com/</v>
      </c>
      <c r="D797" s="130" t="str">
        <f t="shared" si="41"/>
        <v>N/T</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n" cm="1">
        <f t="array" ref="A798">IFERROR(INDEX('03.Muestra'!$B$8:$B$42,SMALL(IF("Página Web"='03.Muestra'!$D$8:$D$42,ROW('03.Muestra'!$B$8:$B$42)-MIN(ROW('03.Muestra'!$D$8:$D$42))+1,""),ROW()-778)),"")</f>
        <v>1.0</v>
      </c>
      <c r="B798" s="114" t="str" cm="1">
        <f t="array" ref="B798">IFERROR(INDEX('03.Muestra'!$C$8:$C$42,SMALL(IF("Página Web"='03.Muestra'!$D$8:$D$42,ROW('03.Muestra'!$C$8:$C$42)-MIN(ROW('03.Muestra'!$D$8:$D$42))+1,""),ROW()-778)),"")</f>
        <v>Home - PortCastelló</v>
      </c>
      <c r="C798" s="114" t="str" cm="1">
        <f t="array" ref="C798">IFERROR(INDEX('03.Muestra'!$F$8:$F$42,SMALL(IF("Página Web"='03.Muestra'!$D$8:$D$42,ROW('03.Muestra'!$F$8:$F$42)-MIN(ROW('03.Muestra'!$D$8:$D$42))+1,""),ROW()-778)),"")</f>
        <v>https://www.portcastello.com/</v>
      </c>
      <c r="D798" s="130" t="str">
        <f t="shared" si="41"/>
        <v>N/T</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n" cm="1">
        <f t="array" ref="A799">IFERROR(INDEX('03.Muestra'!$B$8:$B$42,SMALL(IF("Página Web"='03.Muestra'!$D$8:$D$42,ROW('03.Muestra'!$B$8:$B$42)-MIN(ROW('03.Muestra'!$D$8:$D$42))+1,""),ROW()-778)),"")</f>
        <v>1.0</v>
      </c>
      <c r="B799" s="114" t="str" cm="1">
        <f t="array" ref="B799">IFERROR(INDEX('03.Muestra'!$C$8:$C$42,SMALL(IF("Página Web"='03.Muestra'!$D$8:$D$42,ROW('03.Muestra'!$C$8:$C$42)-MIN(ROW('03.Muestra'!$D$8:$D$42))+1,""),ROW()-778)),"")</f>
        <v>Home - PortCastelló</v>
      </c>
      <c r="C799" s="114" t="str" cm="1">
        <f t="array" ref="C799">IFERROR(INDEX('03.Muestra'!$F$8:$F$42,SMALL(IF("Página Web"='03.Muestra'!$D$8:$D$42,ROW('03.Muestra'!$F$8:$F$42)-MIN(ROW('03.Muestra'!$D$8:$D$42))+1,""),ROW()-778)),"")</f>
        <v>https://www.portcastello.com/</v>
      </c>
      <c r="D799" s="130" t="str">
        <f t="shared" si="41"/>
        <v>N/T</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n" cm="1">
        <f t="array" ref="A800">IFERROR(INDEX('03.Muestra'!$B$8:$B$42,SMALL(IF("Página Web"='03.Muestra'!$D$8:$D$42,ROW('03.Muestra'!$B$8:$B$42)-MIN(ROW('03.Muestra'!$D$8:$D$42))+1,""),ROW()-778)),"")</f>
        <v>1.0</v>
      </c>
      <c r="B800" s="114" t="str" cm="1">
        <f t="array" ref="B800">IFERROR(INDEX('03.Muestra'!$C$8:$C$42,SMALL(IF("Página Web"='03.Muestra'!$D$8:$D$42,ROW('03.Muestra'!$C$8:$C$42)-MIN(ROW('03.Muestra'!$D$8:$D$42))+1,""),ROW()-778)),"")</f>
        <v>Home - PortCastelló</v>
      </c>
      <c r="C800" s="114" t="str" cm="1">
        <f t="array" ref="C800">IFERROR(INDEX('03.Muestra'!$F$8:$F$42,SMALL(IF("Página Web"='03.Muestra'!$D$8:$D$42,ROW('03.Muestra'!$F$8:$F$42)-MIN(ROW('03.Muestra'!$D$8:$D$42))+1,""),ROW()-778)),"")</f>
        <v>https://www.portcastello.com/</v>
      </c>
      <c r="D800" s="130" t="str">
        <f t="shared" si="41"/>
        <v>N/T</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n" cm="1">
        <f t="array" ref="A801">IFERROR(INDEX('03.Muestra'!$B$8:$B$42,SMALL(IF("Página Web"='03.Muestra'!$D$8:$D$42,ROW('03.Muestra'!$B$8:$B$42)-MIN(ROW('03.Muestra'!$D$8:$D$42))+1,""),ROW()-778)),"")</f>
        <v>1.0</v>
      </c>
      <c r="B801" s="114" t="str" cm="1">
        <f t="array" ref="B801">IFERROR(INDEX('03.Muestra'!$C$8:$C$42,SMALL(IF("Página Web"='03.Muestra'!$D$8:$D$42,ROW('03.Muestra'!$C$8:$C$42)-MIN(ROW('03.Muestra'!$D$8:$D$42))+1,""),ROW()-778)),"")</f>
        <v>Home - PortCastelló</v>
      </c>
      <c r="C801" s="114" t="str" cm="1">
        <f t="array" ref="C801">IFERROR(INDEX('03.Muestra'!$F$8:$F$42,SMALL(IF("Página Web"='03.Muestra'!$D$8:$D$42,ROW('03.Muestra'!$F$8:$F$42)-MIN(ROW('03.Muestra'!$D$8:$D$42))+1,""),ROW()-778)),"")</f>
        <v>https://www.portcastello.com/</v>
      </c>
      <c r="D801" s="130" t="str">
        <f t="shared" si="41"/>
        <v>N/T</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n" cm="1">
        <f t="array" ref="A802">IFERROR(INDEX('03.Muestra'!$B$8:$B$42,SMALL(IF("Página Web"='03.Muestra'!$D$8:$D$42,ROW('03.Muestra'!$B$8:$B$42)-MIN(ROW('03.Muestra'!$D$8:$D$42))+1,""),ROW()-778)),"")</f>
        <v>1.0</v>
      </c>
      <c r="B802" s="114" t="str" cm="1">
        <f t="array" ref="B802">IFERROR(INDEX('03.Muestra'!$C$8:$C$42,SMALL(IF("Página Web"='03.Muestra'!$D$8:$D$42,ROW('03.Muestra'!$C$8:$C$42)-MIN(ROW('03.Muestra'!$D$8:$D$42))+1,""),ROW()-778)),"")</f>
        <v>Home - PortCastelló</v>
      </c>
      <c r="C802" s="114" t="str" cm="1">
        <f t="array" ref="C802">IFERROR(INDEX('03.Muestra'!$F$8:$F$42,SMALL(IF("Página Web"='03.Muestra'!$D$8:$D$42,ROW('03.Muestra'!$F$8:$F$42)-MIN(ROW('03.Muestra'!$D$8:$D$42))+1,""),ROW()-778)),"")</f>
        <v>https://www.portcastello.com/</v>
      </c>
      <c r="D802" s="130" t="str">
        <f t="shared" si="41"/>
        <v>N/T</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n" cm="1">
        <f t="array" ref="A803">IFERROR(INDEX('03.Muestra'!$B$8:$B$42,SMALL(IF("Página Web"='03.Muestra'!$D$8:$D$42,ROW('03.Muestra'!$B$8:$B$42)-MIN(ROW('03.Muestra'!$D$8:$D$42))+1,""),ROW()-778)),"")</f>
        <v>1.0</v>
      </c>
      <c r="B803" s="114" t="str" cm="1">
        <f t="array" ref="B803">IFERROR(INDEX('03.Muestra'!$C$8:$C$42,SMALL(IF("Página Web"='03.Muestra'!$D$8:$D$42,ROW('03.Muestra'!$C$8:$C$42)-MIN(ROW('03.Muestra'!$D$8:$D$42))+1,""),ROW()-778)),"")</f>
        <v>Home - PortCastelló</v>
      </c>
      <c r="C803" s="114" t="str" cm="1">
        <f t="array" ref="C803">IFERROR(INDEX('03.Muestra'!$F$8:$F$42,SMALL(IF("Página Web"='03.Muestra'!$D$8:$D$42,ROW('03.Muestra'!$F$8:$F$42)-MIN(ROW('03.Muestra'!$D$8:$D$42))+1,""),ROW()-778)),"")</f>
        <v>https://www.portcastello.com/</v>
      </c>
      <c r="D803" s="130" t="str">
        <f t="shared" si="41"/>
        <v>N/T</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n" cm="1">
        <f t="array" ref="A804">IFERROR(INDEX('03.Muestra'!$B$8:$B$42,SMALL(IF("Página Web"='03.Muestra'!$D$8:$D$42,ROW('03.Muestra'!$B$8:$B$42)-MIN(ROW('03.Muestra'!$D$8:$D$42))+1,""),ROW()-778)),"")</f>
        <v>1.0</v>
      </c>
      <c r="B804" s="114" t="str" cm="1">
        <f t="array" ref="B804">IFERROR(INDEX('03.Muestra'!$C$8:$C$42,SMALL(IF("Página Web"='03.Muestra'!$D$8:$D$42,ROW('03.Muestra'!$C$8:$C$42)-MIN(ROW('03.Muestra'!$D$8:$D$42))+1,""),ROW()-778)),"")</f>
        <v>Home - PortCastelló</v>
      </c>
      <c r="C804" s="114" t="str" cm="1">
        <f t="array" ref="C804">IFERROR(INDEX('03.Muestra'!$F$8:$F$42,SMALL(IF("Página Web"='03.Muestra'!$D$8:$D$42,ROW('03.Muestra'!$F$8:$F$42)-MIN(ROW('03.Muestra'!$D$8:$D$42))+1,""),ROW()-778)),"")</f>
        <v>https://www.portcastello.com/</v>
      </c>
      <c r="D804" s="130" t="str">
        <f t="shared" si="41"/>
        <v>N/T</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n" cm="1">
        <f t="array" ref="A805">IFERROR(INDEX('03.Muestra'!$B$8:$B$42,SMALL(IF("Página Web"='03.Muestra'!$D$8:$D$42,ROW('03.Muestra'!$B$8:$B$42)-MIN(ROW('03.Muestra'!$D$8:$D$42))+1,""),ROW()-778)),"")</f>
        <v>1.0</v>
      </c>
      <c r="B805" s="114" t="str" cm="1">
        <f t="array" ref="B805">IFERROR(INDEX('03.Muestra'!$C$8:$C$42,SMALL(IF("Página Web"='03.Muestra'!$D$8:$D$42,ROW('03.Muestra'!$C$8:$C$42)-MIN(ROW('03.Muestra'!$D$8:$D$42))+1,""),ROW()-778)),"")</f>
        <v>Home - PortCastelló</v>
      </c>
      <c r="C805" s="114" t="str" cm="1">
        <f t="array" ref="C805">IFERROR(INDEX('03.Muestra'!$F$8:$F$42,SMALL(IF("Página Web"='03.Muestra'!$D$8:$D$42,ROW('03.Muestra'!$F$8:$F$42)-MIN(ROW('03.Muestra'!$D$8:$D$42))+1,""),ROW()-778)),"")</f>
        <v>https://www.portcastello.com/</v>
      </c>
      <c r="D805" s="130" t="str">
        <f t="shared" si="41"/>
        <v>N/T</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n" cm="1">
        <f t="array" ref="A806">IFERROR(INDEX('03.Muestra'!$B$8:$B$42,SMALL(IF("Página Web"='03.Muestra'!$D$8:$D$42,ROW('03.Muestra'!$B$8:$B$42)-MIN(ROW('03.Muestra'!$D$8:$D$42))+1,""),ROW()-778)),"")</f>
        <v>1.0</v>
      </c>
      <c r="B806" s="114" t="str" cm="1">
        <f t="array" ref="B806">IFERROR(INDEX('03.Muestra'!$C$8:$C$42,SMALL(IF("Página Web"='03.Muestra'!$D$8:$D$42,ROW('03.Muestra'!$C$8:$C$42)-MIN(ROW('03.Muestra'!$D$8:$D$42))+1,""),ROW()-778)),"")</f>
        <v>Home - PortCastelló</v>
      </c>
      <c r="C806" s="114" t="str" cm="1">
        <f t="array" ref="C806">IFERROR(INDEX('03.Muestra'!$F$8:$F$42,SMALL(IF("Página Web"='03.Muestra'!$D$8:$D$42,ROW('03.Muestra'!$F$8:$F$42)-MIN(ROW('03.Muestra'!$D$8:$D$42))+1,""),ROW()-778)),"")</f>
        <v>https://www.portcastello.com/</v>
      </c>
      <c r="D806" s="130" t="str">
        <f t="shared" si="41"/>
        <v>N/T</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n" cm="1">
        <f t="array" ref="A807">IFERROR(INDEX('03.Muestra'!$B$8:$B$42,SMALL(IF("Página Web"='03.Muestra'!$D$8:$D$42,ROW('03.Muestra'!$B$8:$B$42)-MIN(ROW('03.Muestra'!$D$8:$D$42))+1,""),ROW()-778)),"")</f>
        <v>1.0</v>
      </c>
      <c r="B807" s="114" t="str" cm="1">
        <f t="array" ref="B807">IFERROR(INDEX('03.Muestra'!$C$8:$C$42,SMALL(IF("Página Web"='03.Muestra'!$D$8:$D$42,ROW('03.Muestra'!$C$8:$C$42)-MIN(ROW('03.Muestra'!$D$8:$D$42))+1,""),ROW()-778)),"")</f>
        <v>Home - PortCastelló</v>
      </c>
      <c r="C807" s="114" t="str" cm="1">
        <f t="array" ref="C807">IFERROR(INDEX('03.Muestra'!$F$8:$F$42,SMALL(IF("Página Web"='03.Muestra'!$D$8:$D$42,ROW('03.Muestra'!$F$8:$F$42)-MIN(ROW('03.Muestra'!$D$8:$D$42))+1,""),ROW()-778)),"")</f>
        <v>https://www.portcastello.com/</v>
      </c>
      <c r="D807" s="130" t="str">
        <f t="shared" si="41"/>
        <v>N/T</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n" cm="1">
        <f t="array" ref="A808">IFERROR(INDEX('03.Muestra'!$B$8:$B$42,SMALL(IF("Página Web"='03.Muestra'!$D$8:$D$42,ROW('03.Muestra'!$B$8:$B$42)-MIN(ROW('03.Muestra'!$D$8:$D$42))+1,""),ROW()-778)),"")</f>
        <v>1.0</v>
      </c>
      <c r="B808" s="114" t="str" cm="1">
        <f t="array" ref="B808">IFERROR(INDEX('03.Muestra'!$C$8:$C$42,SMALL(IF("Página Web"='03.Muestra'!$D$8:$D$42,ROW('03.Muestra'!$C$8:$C$42)-MIN(ROW('03.Muestra'!$D$8:$D$42))+1,""),ROW()-778)),"")</f>
        <v>Home - PortCastelló</v>
      </c>
      <c r="C808" s="114" t="str" cm="1">
        <f t="array" ref="C808">IFERROR(INDEX('03.Muestra'!$F$8:$F$42,SMALL(IF("Página Web"='03.Muestra'!$D$8:$D$42,ROW('03.Muestra'!$F$8:$F$42)-MIN(ROW('03.Muestra'!$D$8:$D$42))+1,""),ROW()-778)),"")</f>
        <v>https://www.portcastello.com/</v>
      </c>
      <c r="D808" s="130" t="str">
        <f t="shared" si="41"/>
        <v>N/T</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n" cm="1">
        <f t="array" ref="A809">IFERROR(INDEX('03.Muestra'!$B$8:$B$42,SMALL(IF("Página Web"='03.Muestra'!$D$8:$D$42,ROW('03.Muestra'!$B$8:$B$42)-MIN(ROW('03.Muestra'!$D$8:$D$42))+1,""),ROW()-778)),"")</f>
        <v>1.0</v>
      </c>
      <c r="B809" s="114" t="str" cm="1">
        <f t="array" ref="B809">IFERROR(INDEX('03.Muestra'!$C$8:$C$42,SMALL(IF("Página Web"='03.Muestra'!$D$8:$D$42,ROW('03.Muestra'!$C$8:$C$42)-MIN(ROW('03.Muestra'!$D$8:$D$42))+1,""),ROW()-778)),"")</f>
        <v>Home - PortCastelló</v>
      </c>
      <c r="C809" s="114" t="str" cm="1">
        <f t="array" ref="C809">IFERROR(INDEX('03.Muestra'!$F$8:$F$42,SMALL(IF("Página Web"='03.Muestra'!$D$8:$D$42,ROW('03.Muestra'!$F$8:$F$42)-MIN(ROW('03.Muestra'!$D$8:$D$42))+1,""),ROW()-778)),"")</f>
        <v>https://www.portcastello.com/</v>
      </c>
      <c r="D809" s="130" t="str">
        <f t="shared" si="41"/>
        <v>N/T</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n" cm="1">
        <f t="array" ref="A810">IFERROR(INDEX('03.Muestra'!$B$8:$B$42,SMALL(IF("Página Web"='03.Muestra'!$D$8:$D$42,ROW('03.Muestra'!$B$8:$B$42)-MIN(ROW('03.Muestra'!$D$8:$D$42))+1,""),ROW()-778)),"")</f>
        <v>1.0</v>
      </c>
      <c r="B810" s="114" t="str" cm="1">
        <f t="array" ref="B810">IFERROR(INDEX('03.Muestra'!$C$8:$C$42,SMALL(IF("Página Web"='03.Muestra'!$D$8:$D$42,ROW('03.Muestra'!$C$8:$C$42)-MIN(ROW('03.Muestra'!$D$8:$D$42))+1,""),ROW()-778)),"")</f>
        <v>Home - PortCastelló</v>
      </c>
      <c r="C810" s="114" t="str" cm="1">
        <f t="array" ref="C810">IFERROR(INDEX('03.Muestra'!$F$8:$F$42,SMALL(IF("Página Web"='03.Muestra'!$D$8:$D$42,ROW('03.Muestra'!$F$8:$F$42)-MIN(ROW('03.Muestra'!$D$8:$D$42))+1,""),ROW()-778)),"")</f>
        <v>https://www.portcastello.com/</v>
      </c>
      <c r="D810" s="130" t="str">
        <f t="shared" si="41"/>
        <v>N/T</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n" cm="1">
        <f t="array" ref="A811">IFERROR(INDEX('03.Muestra'!$B$8:$B$42,SMALL(IF("Página Web"='03.Muestra'!$D$8:$D$42,ROW('03.Muestra'!$B$8:$B$42)-MIN(ROW('03.Muestra'!$D$8:$D$42))+1,""),ROW()-778)),"")</f>
        <v>1.0</v>
      </c>
      <c r="B811" s="114" t="str" cm="1">
        <f t="array" ref="B811">IFERROR(INDEX('03.Muestra'!$C$8:$C$42,SMALL(IF("Página Web"='03.Muestra'!$D$8:$D$42,ROW('03.Muestra'!$C$8:$C$42)-MIN(ROW('03.Muestra'!$D$8:$D$42))+1,""),ROW()-778)),"")</f>
        <v>Home - PortCastelló</v>
      </c>
      <c r="C811" s="114" t="str" cm="1">
        <f t="array" ref="C811">IFERROR(INDEX('03.Muestra'!$F$8:$F$42,SMALL(IF("Página Web"='03.Muestra'!$D$8:$D$42,ROW('03.Muestra'!$F$8:$F$42)-MIN(ROW('03.Muestra'!$D$8:$D$42))+1,""),ROW()-778)),"")</f>
        <v>https://www.portcastello.com/</v>
      </c>
      <c r="D811" s="130" t="str">
        <f t="shared" si="41"/>
        <v>N/T</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str" cm="1">
        <f t="array" ref="A812">IFERROR(INDEX('03.Muestra'!$B$8:$B$42,SMALL(IF("Página Web"='03.Muestra'!$D$8:$D$42,ROW('03.Muestra'!$B$8:$B$42)-MIN(ROW('03.Muestra'!$D$8:$D$42))+1,""),ROW()-778)),"")</f>
        <v/>
      </c>
      <c r="B812" s="114" t="str" cm="1">
        <f t="array" ref="B812">IFERROR(INDEX('03.Muestra'!$C$8:$C$42,SMALL(IF("Página Web"='03.Muestra'!$D$8:$D$42,ROW('03.Muestra'!$C$8:$C$42)-MIN(ROW('03.Muestra'!$D$8:$D$42))+1,""),ROW()-778)),"")</f>
        <v/>
      </c>
      <c r="C812" s="114" t="str" cm="1">
        <f t="array" ref="C812">IFERROR(INDEX('03.Muestra'!$F$8:$F$42,SMALL(IF("Página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268</v>
      </c>
      <c r="B816" s="24" t="s">
        <v>90</v>
      </c>
      <c r="C816" s="25" t="s">
        <v>394</v>
      </c>
      <c r="D816" s="26" t="s">
        <v>32</v>
      </c>
      <c r="E816" s="123"/>
      <c r="K816" s="233"/>
      <c r="L816" s="19"/>
      <c r="M816" s="19"/>
      <c r="N816" s="19"/>
      <c r="O816" s="19"/>
      <c r="P816" s="19"/>
      <c r="Q816" s="19"/>
      <c r="R816" s="19"/>
      <c r="S816" s="19"/>
      <c r="T816" s="19"/>
      <c r="U816" s="19"/>
      <c r="V816" s="19"/>
      <c r="W816" s="19"/>
      <c r="X816" s="19"/>
      <c r="Y816" s="19"/>
    </row>
    <row r="817" spans="1:25" ht="12" customHeight="1">
      <c r="A817" s="219" t="n" cm="1">
        <f t="array" ref="A817">IFERROR(INDEX('03.Muestra'!$B$8:$B$42,SMALL(IF("Página Web"='03.Muestra'!$D$8:$D$42,ROW('03.Muestra'!$B$8:$B$42)-MIN(ROW('03.Muestra'!$D$8:$D$42))+1,""),ROW()-816)),"")</f>
        <v>1.0</v>
      </c>
      <c r="B817" s="114" t="str" cm="1">
        <f t="array" ref="B817">IFERROR(INDEX('03.Muestra'!$C$8:$C$42,SMALL(IF("Página Web"='03.Muestra'!$D$8:$D$42,ROW('03.Muestra'!$C$8:$C$42)-MIN(ROW('03.Muestra'!$D$8:$D$42))+1,""),ROW()-816)),"")</f>
        <v>Home - PortCastelló</v>
      </c>
      <c r="C817" s="114" t="str" cm="1">
        <f t="array" ref="C817">IFERROR(INDEX('03.Muestra'!$F$8:$F$42,SMALL(IF("Página Web"='03.Muestra'!$D$8:$D$42,ROW('03.Muestra'!$F$8:$F$42)-MIN(ROW('03.Muestra'!$D$8:$D$42))+1,""),ROW()-816)),"")</f>
        <v>https://www.portcastello.com/</v>
      </c>
      <c r="D817" s="130" t="str">
        <f>IF(AND(B817&lt;&gt;"",C817&lt;&gt;""),"N/T","")</f>
        <v>N/T</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2" customHeight="1">
      <c r="A818" s="219" t="n" cm="1">
        <f t="array" ref="A818">IFERROR(INDEX('03.Muestra'!$B$8:$B$42,SMALL(IF("Página Web"='03.Muestra'!$D$8:$D$42,ROW('03.Muestra'!$B$8:$B$42)-MIN(ROW('03.Muestra'!$D$8:$D$42))+1,""),ROW()-816)),"")</f>
        <v>1.0</v>
      </c>
      <c r="B818" s="114" t="str" cm="1">
        <f t="array" ref="B818">IFERROR(INDEX('03.Muestra'!$C$8:$C$42,SMALL(IF("Página Web"='03.Muestra'!$D$8:$D$42,ROW('03.Muestra'!$C$8:$C$42)-MIN(ROW('03.Muestra'!$D$8:$D$42))+1,""),ROW()-816)),"")</f>
        <v>Home - PortCastelló</v>
      </c>
      <c r="C818" s="114" t="str" cm="1">
        <f t="array" ref="C818">IFERROR(INDEX('03.Muestra'!$F$8:$F$42,SMALL(IF("Página Web"='03.Muestra'!$D$8:$D$42,ROW('03.Muestra'!$F$8:$F$42)-MIN(ROW('03.Muestra'!$D$8:$D$42))+1,""),ROW()-816)),"")</f>
        <v>https://www.portcastello.com/</v>
      </c>
      <c r="D818" s="130" t="str">
        <f t="shared" ref="D818:D851" si="43">IF(AND(B818&lt;&gt;"",C818&lt;&gt;""),"N/T","")</f>
        <v>N/T</v>
      </c>
      <c r="E818" s="107" t="str">
        <f t="shared" si="42"/>
        <v/>
      </c>
      <c r="F818" s="120" t="n">
        <f ca="1">COUNTIF($D817:INDIRECT("$D" &amp;  SUM(ROW()-1,'03.Muestra'!$D$45)-1),F817)</f>
        <v>33.0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IF(COUNTIF('03.Muestra'!$D$8:$D$42,"Página Web")=0,0,COUNTBLANK($D817:INDIRECT("$D" &amp;  SUM(ROW()-1,COUNTIF('03.Muestra'!$D$8:$D$42,"Página Web"))-1)))</f>
        <v>0.0</v>
      </c>
      <c r="L818" s="19"/>
      <c r="M818" s="19"/>
      <c r="N818" s="19"/>
      <c r="O818" s="19"/>
      <c r="P818" s="19"/>
      <c r="Q818" s="19"/>
      <c r="R818" s="19"/>
      <c r="S818" s="19"/>
      <c r="T818" s="19"/>
      <c r="U818" s="19"/>
      <c r="V818" s="19"/>
      <c r="W818" s="19"/>
      <c r="X818" s="19"/>
      <c r="Y818" s="19"/>
    </row>
    <row r="819" spans="1:25" ht="12" customHeight="1">
      <c r="A819" s="219" t="n" cm="1">
        <f t="array" ref="A819">IFERROR(INDEX('03.Muestra'!$B$8:$B$42,SMALL(IF("Página Web"='03.Muestra'!$D$8:$D$42,ROW('03.Muestra'!$B$8:$B$42)-MIN(ROW('03.Muestra'!$D$8:$D$42))+1,""),ROW()-816)),"")</f>
        <v>1.0</v>
      </c>
      <c r="B819" s="114" t="str" cm="1">
        <f t="array" ref="B819">IFERROR(INDEX('03.Muestra'!$C$8:$C$42,SMALL(IF("Página Web"='03.Muestra'!$D$8:$D$42,ROW('03.Muestra'!$C$8:$C$42)-MIN(ROW('03.Muestra'!$D$8:$D$42))+1,""),ROW()-816)),"")</f>
        <v>Home - PortCastelló</v>
      </c>
      <c r="C819" s="114" t="str" cm="1">
        <f t="array" ref="C819">IFERROR(INDEX('03.Muestra'!$F$8:$F$42,SMALL(IF("Página Web"='03.Muestra'!$D$8:$D$42,ROW('03.Muestra'!$F$8:$F$42)-MIN(ROW('03.Muestra'!$D$8:$D$42))+1,""),ROW()-816)),"")</f>
        <v>https://www.portcastello.com/</v>
      </c>
      <c r="D819" s="130" t="str">
        <f t="shared" si="43"/>
        <v>N/T</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t="n" cm="1">
        <f t="array" ref="A820">IFERROR(INDEX('03.Muestra'!$B$8:$B$42,SMALL(IF("Página Web"='03.Muestra'!$D$8:$D$42,ROW('03.Muestra'!$B$8:$B$42)-MIN(ROW('03.Muestra'!$D$8:$D$42))+1,""),ROW()-816)),"")</f>
        <v>1.0</v>
      </c>
      <c r="B820" s="114" t="str" cm="1">
        <f t="array" ref="B820">IFERROR(INDEX('03.Muestra'!$C$8:$C$42,SMALL(IF("Página Web"='03.Muestra'!$D$8:$D$42,ROW('03.Muestra'!$C$8:$C$42)-MIN(ROW('03.Muestra'!$D$8:$D$42))+1,""),ROW()-816)),"")</f>
        <v>Home - PortCastelló</v>
      </c>
      <c r="C820" s="114" t="str" cm="1">
        <f t="array" ref="C820">IFERROR(INDEX('03.Muestra'!$F$8:$F$42,SMALL(IF("Página Web"='03.Muestra'!$D$8:$D$42,ROW('03.Muestra'!$F$8:$F$42)-MIN(ROW('03.Muestra'!$D$8:$D$42))+1,""),ROW()-816)),"")</f>
        <v>https://www.portcastello.com/</v>
      </c>
      <c r="D820" s="130" t="str">
        <f t="shared" si="43"/>
        <v>N/T</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t="n" cm="1">
        <f t="array" ref="A821">IFERROR(INDEX('03.Muestra'!$B$8:$B$42,SMALL(IF("Página Web"='03.Muestra'!$D$8:$D$42,ROW('03.Muestra'!$B$8:$B$42)-MIN(ROW('03.Muestra'!$D$8:$D$42))+1,""),ROW()-816)),"")</f>
        <v>1.0</v>
      </c>
      <c r="B821" s="114" t="str" cm="1">
        <f t="array" ref="B821">IFERROR(INDEX('03.Muestra'!$C$8:$C$42,SMALL(IF("Página Web"='03.Muestra'!$D$8:$D$42,ROW('03.Muestra'!$C$8:$C$42)-MIN(ROW('03.Muestra'!$D$8:$D$42))+1,""),ROW()-816)),"")</f>
        <v>Home - PortCastelló</v>
      </c>
      <c r="C821" s="114" t="str" cm="1">
        <f t="array" ref="C821">IFERROR(INDEX('03.Muestra'!$F$8:$F$42,SMALL(IF("Página Web"='03.Muestra'!$D$8:$D$42,ROW('03.Muestra'!$F$8:$F$42)-MIN(ROW('03.Muestra'!$D$8:$D$42))+1,""),ROW()-816)),"")</f>
        <v>https://www.portcastello.com/</v>
      </c>
      <c r="D821" s="130" t="str">
        <f t="shared" si="43"/>
        <v>N/T</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t="n" cm="1">
        <f t="array" ref="A822">IFERROR(INDEX('03.Muestra'!$B$8:$B$42,SMALL(IF("Página Web"='03.Muestra'!$D$8:$D$42,ROW('03.Muestra'!$B$8:$B$42)-MIN(ROW('03.Muestra'!$D$8:$D$42))+1,""),ROW()-816)),"")</f>
        <v>1.0</v>
      </c>
      <c r="B822" s="114" t="str" cm="1">
        <f t="array" ref="B822">IFERROR(INDEX('03.Muestra'!$C$8:$C$42,SMALL(IF("Página Web"='03.Muestra'!$D$8:$D$42,ROW('03.Muestra'!$C$8:$C$42)-MIN(ROW('03.Muestra'!$D$8:$D$42))+1,""),ROW()-816)),"")</f>
        <v>Home - PortCastelló</v>
      </c>
      <c r="C822" s="114" t="str" cm="1">
        <f t="array" ref="C822">IFERROR(INDEX('03.Muestra'!$F$8:$F$42,SMALL(IF("Página Web"='03.Muestra'!$D$8:$D$42,ROW('03.Muestra'!$F$8:$F$42)-MIN(ROW('03.Muestra'!$D$8:$D$42))+1,""),ROW()-816)),"")</f>
        <v>https://www.portcastello.com/</v>
      </c>
      <c r="D822" s="130" t="str">
        <f t="shared" si="43"/>
        <v>N/T</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t="n" cm="1">
        <f t="array" ref="A823">IFERROR(INDEX('03.Muestra'!$B$8:$B$42,SMALL(IF("Página Web"='03.Muestra'!$D$8:$D$42,ROW('03.Muestra'!$B$8:$B$42)-MIN(ROW('03.Muestra'!$D$8:$D$42))+1,""),ROW()-816)),"")</f>
        <v>1.0</v>
      </c>
      <c r="B823" s="114" t="str" cm="1">
        <f t="array" ref="B823">IFERROR(INDEX('03.Muestra'!$C$8:$C$42,SMALL(IF("Página Web"='03.Muestra'!$D$8:$D$42,ROW('03.Muestra'!$C$8:$C$42)-MIN(ROW('03.Muestra'!$D$8:$D$42))+1,""),ROW()-816)),"")</f>
        <v>Home - PortCastelló</v>
      </c>
      <c r="C823" s="114" t="str" cm="1">
        <f t="array" ref="C823">IFERROR(INDEX('03.Muestra'!$F$8:$F$42,SMALL(IF("Página Web"='03.Muestra'!$D$8:$D$42,ROW('03.Muestra'!$F$8:$F$42)-MIN(ROW('03.Muestra'!$D$8:$D$42))+1,""),ROW()-816)),"")</f>
        <v>https://www.portcastello.com/</v>
      </c>
      <c r="D823" s="130" t="str">
        <f t="shared" si="43"/>
        <v>N/T</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t="n" cm="1">
        <f t="array" ref="A824">IFERROR(INDEX('03.Muestra'!$B$8:$B$42,SMALL(IF("Página Web"='03.Muestra'!$D$8:$D$42,ROW('03.Muestra'!$B$8:$B$42)-MIN(ROW('03.Muestra'!$D$8:$D$42))+1,""),ROW()-816)),"")</f>
        <v>1.0</v>
      </c>
      <c r="B824" s="114" t="str" cm="1">
        <f t="array" ref="B824">IFERROR(INDEX('03.Muestra'!$C$8:$C$42,SMALL(IF("Página Web"='03.Muestra'!$D$8:$D$42,ROW('03.Muestra'!$C$8:$C$42)-MIN(ROW('03.Muestra'!$D$8:$D$42))+1,""),ROW()-816)),"")</f>
        <v>Home - PortCastelló</v>
      </c>
      <c r="C824" s="114" t="str" cm="1">
        <f t="array" ref="C824">IFERROR(INDEX('03.Muestra'!$F$8:$F$42,SMALL(IF("Página Web"='03.Muestra'!$D$8:$D$42,ROW('03.Muestra'!$F$8:$F$42)-MIN(ROW('03.Muestra'!$D$8:$D$42))+1,""),ROW()-816)),"")</f>
        <v>https://www.portcastello.com/</v>
      </c>
      <c r="D824" s="130" t="str">
        <f t="shared" si="43"/>
        <v>N/T</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n" cm="1">
        <f t="array" ref="A825">IFERROR(INDEX('03.Muestra'!$B$8:$B$42,SMALL(IF("Página Web"='03.Muestra'!$D$8:$D$42,ROW('03.Muestra'!$B$8:$B$42)-MIN(ROW('03.Muestra'!$D$8:$D$42))+1,""),ROW()-816)),"")</f>
        <v>1.0</v>
      </c>
      <c r="B825" s="114" t="str" cm="1">
        <f t="array" ref="B825">IFERROR(INDEX('03.Muestra'!$C$8:$C$42,SMALL(IF("Página Web"='03.Muestra'!$D$8:$D$42,ROW('03.Muestra'!$C$8:$C$42)-MIN(ROW('03.Muestra'!$D$8:$D$42))+1,""),ROW()-816)),"")</f>
        <v>Home - PortCastelló</v>
      </c>
      <c r="C825" s="114" t="str" cm="1">
        <f t="array" ref="C825">IFERROR(INDEX('03.Muestra'!$F$8:$F$42,SMALL(IF("Página Web"='03.Muestra'!$D$8:$D$42,ROW('03.Muestra'!$F$8:$F$42)-MIN(ROW('03.Muestra'!$D$8:$D$42))+1,""),ROW()-816)),"")</f>
        <v>https://www.portcastello.com/</v>
      </c>
      <c r="D825" s="130" t="str">
        <f t="shared" si="43"/>
        <v>N/T</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n" cm="1">
        <f t="array" ref="A826">IFERROR(INDEX('03.Muestra'!$B$8:$B$42,SMALL(IF("Página Web"='03.Muestra'!$D$8:$D$42,ROW('03.Muestra'!$B$8:$B$42)-MIN(ROW('03.Muestra'!$D$8:$D$42))+1,""),ROW()-816)),"")</f>
        <v>1.0</v>
      </c>
      <c r="B826" s="114" t="str" cm="1">
        <f t="array" ref="B826">IFERROR(INDEX('03.Muestra'!$C$8:$C$42,SMALL(IF("Página Web"='03.Muestra'!$D$8:$D$42,ROW('03.Muestra'!$C$8:$C$42)-MIN(ROW('03.Muestra'!$D$8:$D$42))+1,""),ROW()-816)),"")</f>
        <v>Home - PortCastelló</v>
      </c>
      <c r="C826" s="114" t="str" cm="1">
        <f t="array" ref="C826">IFERROR(INDEX('03.Muestra'!$F$8:$F$42,SMALL(IF("Página Web"='03.Muestra'!$D$8:$D$42,ROW('03.Muestra'!$F$8:$F$42)-MIN(ROW('03.Muestra'!$D$8:$D$42))+1,""),ROW()-816)),"")</f>
        <v>https://www.portcastello.com/</v>
      </c>
      <c r="D826" s="130" t="str">
        <f t="shared" si="43"/>
        <v>N/T</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n" cm="1">
        <f t="array" ref="A827">IFERROR(INDEX('03.Muestra'!$B$8:$B$42,SMALL(IF("Página Web"='03.Muestra'!$D$8:$D$42,ROW('03.Muestra'!$B$8:$B$42)-MIN(ROW('03.Muestra'!$D$8:$D$42))+1,""),ROW()-816)),"")</f>
        <v>1.0</v>
      </c>
      <c r="B827" s="114" t="str" cm="1">
        <f t="array" ref="B827">IFERROR(INDEX('03.Muestra'!$C$8:$C$42,SMALL(IF("Página Web"='03.Muestra'!$D$8:$D$42,ROW('03.Muestra'!$C$8:$C$42)-MIN(ROW('03.Muestra'!$D$8:$D$42))+1,""),ROW()-816)),"")</f>
        <v>Home - PortCastelló</v>
      </c>
      <c r="C827" s="114" t="str" cm="1">
        <f t="array" ref="C827">IFERROR(INDEX('03.Muestra'!$F$8:$F$42,SMALL(IF("Página Web"='03.Muestra'!$D$8:$D$42,ROW('03.Muestra'!$F$8:$F$42)-MIN(ROW('03.Muestra'!$D$8:$D$42))+1,""),ROW()-816)),"")</f>
        <v>https://www.portcastello.com/</v>
      </c>
      <c r="D827" s="130" t="str">
        <f t="shared" si="43"/>
        <v>N/T</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n" cm="1">
        <f t="array" ref="A828">IFERROR(INDEX('03.Muestra'!$B$8:$B$42,SMALL(IF("Página Web"='03.Muestra'!$D$8:$D$42,ROW('03.Muestra'!$B$8:$B$42)-MIN(ROW('03.Muestra'!$D$8:$D$42))+1,""),ROW()-816)),"")</f>
        <v>1.0</v>
      </c>
      <c r="B828" s="114" t="str" cm="1">
        <f t="array" ref="B828">IFERROR(INDEX('03.Muestra'!$C$8:$C$42,SMALL(IF("Página Web"='03.Muestra'!$D$8:$D$42,ROW('03.Muestra'!$C$8:$C$42)-MIN(ROW('03.Muestra'!$D$8:$D$42))+1,""),ROW()-816)),"")</f>
        <v>Home - PortCastelló</v>
      </c>
      <c r="C828" s="114" t="str" cm="1">
        <f t="array" ref="C828">IFERROR(INDEX('03.Muestra'!$F$8:$F$42,SMALL(IF("Página Web"='03.Muestra'!$D$8:$D$42,ROW('03.Muestra'!$F$8:$F$42)-MIN(ROW('03.Muestra'!$D$8:$D$42))+1,""),ROW()-816)),"")</f>
        <v>https://www.portcastello.com/</v>
      </c>
      <c r="D828" s="130" t="str">
        <f t="shared" si="43"/>
        <v>N/T</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n" cm="1">
        <f t="array" ref="A829">IFERROR(INDEX('03.Muestra'!$B$8:$B$42,SMALL(IF("Página Web"='03.Muestra'!$D$8:$D$42,ROW('03.Muestra'!$B$8:$B$42)-MIN(ROW('03.Muestra'!$D$8:$D$42))+1,""),ROW()-816)),"")</f>
        <v>1.0</v>
      </c>
      <c r="B829" s="114" t="str" cm="1">
        <f t="array" ref="B829">IFERROR(INDEX('03.Muestra'!$C$8:$C$42,SMALL(IF("Página Web"='03.Muestra'!$D$8:$D$42,ROW('03.Muestra'!$C$8:$C$42)-MIN(ROW('03.Muestra'!$D$8:$D$42))+1,""),ROW()-816)),"")</f>
        <v>Home - PortCastelló</v>
      </c>
      <c r="C829" s="114" t="str" cm="1">
        <f t="array" ref="C829">IFERROR(INDEX('03.Muestra'!$F$8:$F$42,SMALL(IF("Página Web"='03.Muestra'!$D$8:$D$42,ROW('03.Muestra'!$F$8:$F$42)-MIN(ROW('03.Muestra'!$D$8:$D$42))+1,""),ROW()-816)),"")</f>
        <v>https://www.portcastello.com/</v>
      </c>
      <c r="D829" s="130" t="str">
        <f t="shared" si="43"/>
        <v>N/T</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n" cm="1">
        <f t="array" ref="A830">IFERROR(INDEX('03.Muestra'!$B$8:$B$42,SMALL(IF("Página Web"='03.Muestra'!$D$8:$D$42,ROW('03.Muestra'!$B$8:$B$42)-MIN(ROW('03.Muestra'!$D$8:$D$42))+1,""),ROW()-816)),"")</f>
        <v>1.0</v>
      </c>
      <c r="B830" s="114" t="str" cm="1">
        <f t="array" ref="B830">IFERROR(INDEX('03.Muestra'!$C$8:$C$42,SMALL(IF("Página Web"='03.Muestra'!$D$8:$D$42,ROW('03.Muestra'!$C$8:$C$42)-MIN(ROW('03.Muestra'!$D$8:$D$42))+1,""),ROW()-816)),"")</f>
        <v>Home - PortCastelló</v>
      </c>
      <c r="C830" s="114" t="str" cm="1">
        <f t="array" ref="C830">IFERROR(INDEX('03.Muestra'!$F$8:$F$42,SMALL(IF("Página Web"='03.Muestra'!$D$8:$D$42,ROW('03.Muestra'!$F$8:$F$42)-MIN(ROW('03.Muestra'!$D$8:$D$42))+1,""),ROW()-816)),"")</f>
        <v>https://www.portcastello.com/</v>
      </c>
      <c r="D830" s="130" t="str">
        <f t="shared" si="43"/>
        <v>N/T</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n" cm="1">
        <f t="array" ref="A831">IFERROR(INDEX('03.Muestra'!$B$8:$B$42,SMALL(IF("Página Web"='03.Muestra'!$D$8:$D$42,ROW('03.Muestra'!$B$8:$B$42)-MIN(ROW('03.Muestra'!$D$8:$D$42))+1,""),ROW()-816)),"")</f>
        <v>1.0</v>
      </c>
      <c r="B831" s="114" t="str" cm="1">
        <f t="array" ref="B831">IFERROR(INDEX('03.Muestra'!$C$8:$C$42,SMALL(IF("Página Web"='03.Muestra'!$D$8:$D$42,ROW('03.Muestra'!$C$8:$C$42)-MIN(ROW('03.Muestra'!$D$8:$D$42))+1,""),ROW()-816)),"")</f>
        <v>Home - PortCastelló</v>
      </c>
      <c r="C831" s="114" t="str" cm="1">
        <f t="array" ref="C831">IFERROR(INDEX('03.Muestra'!$F$8:$F$42,SMALL(IF("Página Web"='03.Muestra'!$D$8:$D$42,ROW('03.Muestra'!$F$8:$F$42)-MIN(ROW('03.Muestra'!$D$8:$D$42))+1,""),ROW()-816)),"")</f>
        <v>https://www.portcastello.com/</v>
      </c>
      <c r="D831" s="130" t="str">
        <f t="shared" si="43"/>
        <v>N/T</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n" cm="1">
        <f t="array" ref="A832">IFERROR(INDEX('03.Muestra'!$B$8:$B$42,SMALL(IF("Página Web"='03.Muestra'!$D$8:$D$42,ROW('03.Muestra'!$B$8:$B$42)-MIN(ROW('03.Muestra'!$D$8:$D$42))+1,""),ROW()-816)),"")</f>
        <v>1.0</v>
      </c>
      <c r="B832" s="114" t="str" cm="1">
        <f t="array" ref="B832">IFERROR(INDEX('03.Muestra'!$C$8:$C$42,SMALL(IF("Página Web"='03.Muestra'!$D$8:$D$42,ROW('03.Muestra'!$C$8:$C$42)-MIN(ROW('03.Muestra'!$D$8:$D$42))+1,""),ROW()-816)),"")</f>
        <v>Home - PortCastelló</v>
      </c>
      <c r="C832" s="114" t="str" cm="1">
        <f t="array" ref="C832">IFERROR(INDEX('03.Muestra'!$F$8:$F$42,SMALL(IF("Página Web"='03.Muestra'!$D$8:$D$42,ROW('03.Muestra'!$F$8:$F$42)-MIN(ROW('03.Muestra'!$D$8:$D$42))+1,""),ROW()-816)),"")</f>
        <v>https://www.portcastello.com/</v>
      </c>
      <c r="D832" s="130" t="str">
        <f t="shared" si="43"/>
        <v>N/T</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n" cm="1">
        <f t="array" ref="A833">IFERROR(INDEX('03.Muestra'!$B$8:$B$42,SMALL(IF("Página Web"='03.Muestra'!$D$8:$D$42,ROW('03.Muestra'!$B$8:$B$42)-MIN(ROW('03.Muestra'!$D$8:$D$42))+1,""),ROW()-816)),"")</f>
        <v>1.0</v>
      </c>
      <c r="B833" s="114" t="str" cm="1">
        <f t="array" ref="B833">IFERROR(INDEX('03.Muestra'!$C$8:$C$42,SMALL(IF("Página Web"='03.Muestra'!$D$8:$D$42,ROW('03.Muestra'!$C$8:$C$42)-MIN(ROW('03.Muestra'!$D$8:$D$42))+1,""),ROW()-816)),"")</f>
        <v>Home - PortCastelló</v>
      </c>
      <c r="C833" s="114" t="str" cm="1">
        <f t="array" ref="C833">IFERROR(INDEX('03.Muestra'!$F$8:$F$42,SMALL(IF("Página Web"='03.Muestra'!$D$8:$D$42,ROW('03.Muestra'!$F$8:$F$42)-MIN(ROW('03.Muestra'!$D$8:$D$42))+1,""),ROW()-816)),"")</f>
        <v>https://www.portcastello.com/</v>
      </c>
      <c r="D833" s="130" t="str">
        <f t="shared" si="43"/>
        <v>N/T</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n" cm="1">
        <f t="array" ref="A834">IFERROR(INDEX('03.Muestra'!$B$8:$B$42,SMALL(IF("Página Web"='03.Muestra'!$D$8:$D$42,ROW('03.Muestra'!$B$8:$B$42)-MIN(ROW('03.Muestra'!$D$8:$D$42))+1,""),ROW()-816)),"")</f>
        <v>1.0</v>
      </c>
      <c r="B834" s="114" t="str" cm="1">
        <f t="array" ref="B834">IFERROR(INDEX('03.Muestra'!$C$8:$C$42,SMALL(IF("Página Web"='03.Muestra'!$D$8:$D$42,ROW('03.Muestra'!$C$8:$C$42)-MIN(ROW('03.Muestra'!$D$8:$D$42))+1,""),ROW()-816)),"")</f>
        <v>Home - PortCastelló</v>
      </c>
      <c r="C834" s="114" t="str" cm="1">
        <f t="array" ref="C834">IFERROR(INDEX('03.Muestra'!$F$8:$F$42,SMALL(IF("Página Web"='03.Muestra'!$D$8:$D$42,ROW('03.Muestra'!$F$8:$F$42)-MIN(ROW('03.Muestra'!$D$8:$D$42))+1,""),ROW()-816)),"")</f>
        <v>https://www.portcastello.com/</v>
      </c>
      <c r="D834" s="130" t="str">
        <f t="shared" si="43"/>
        <v>N/T</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n" cm="1">
        <f t="array" ref="A835">IFERROR(INDEX('03.Muestra'!$B$8:$B$42,SMALL(IF("Página Web"='03.Muestra'!$D$8:$D$42,ROW('03.Muestra'!$B$8:$B$42)-MIN(ROW('03.Muestra'!$D$8:$D$42))+1,""),ROW()-816)),"")</f>
        <v>1.0</v>
      </c>
      <c r="B835" s="114" t="str" cm="1">
        <f t="array" ref="B835">IFERROR(INDEX('03.Muestra'!$C$8:$C$42,SMALL(IF("Página Web"='03.Muestra'!$D$8:$D$42,ROW('03.Muestra'!$C$8:$C$42)-MIN(ROW('03.Muestra'!$D$8:$D$42))+1,""),ROW()-816)),"")</f>
        <v>Home - PortCastelló</v>
      </c>
      <c r="C835" s="114" t="str" cm="1">
        <f t="array" ref="C835">IFERROR(INDEX('03.Muestra'!$F$8:$F$42,SMALL(IF("Página Web"='03.Muestra'!$D$8:$D$42,ROW('03.Muestra'!$F$8:$F$42)-MIN(ROW('03.Muestra'!$D$8:$D$42))+1,""),ROW()-816)),"")</f>
        <v>https://www.portcastello.com/</v>
      </c>
      <c r="D835" s="130" t="str">
        <f t="shared" si="43"/>
        <v>N/T</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n" cm="1">
        <f t="array" ref="A836">IFERROR(INDEX('03.Muestra'!$B$8:$B$42,SMALL(IF("Página Web"='03.Muestra'!$D$8:$D$42,ROW('03.Muestra'!$B$8:$B$42)-MIN(ROW('03.Muestra'!$D$8:$D$42))+1,""),ROW()-816)),"")</f>
        <v>1.0</v>
      </c>
      <c r="B836" s="114" t="str" cm="1">
        <f t="array" ref="B836">IFERROR(INDEX('03.Muestra'!$C$8:$C$42,SMALL(IF("Página Web"='03.Muestra'!$D$8:$D$42,ROW('03.Muestra'!$C$8:$C$42)-MIN(ROW('03.Muestra'!$D$8:$D$42))+1,""),ROW()-816)),"")</f>
        <v>Home - PortCastelló</v>
      </c>
      <c r="C836" s="114" t="str" cm="1">
        <f t="array" ref="C836">IFERROR(INDEX('03.Muestra'!$F$8:$F$42,SMALL(IF("Página Web"='03.Muestra'!$D$8:$D$42,ROW('03.Muestra'!$F$8:$F$42)-MIN(ROW('03.Muestra'!$D$8:$D$42))+1,""),ROW()-816)),"")</f>
        <v>https://www.portcastello.com/</v>
      </c>
      <c r="D836" s="130" t="str">
        <f t="shared" si="43"/>
        <v>N/T</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n" cm="1">
        <f t="array" ref="A837">IFERROR(INDEX('03.Muestra'!$B$8:$B$42,SMALL(IF("Página Web"='03.Muestra'!$D$8:$D$42,ROW('03.Muestra'!$B$8:$B$42)-MIN(ROW('03.Muestra'!$D$8:$D$42))+1,""),ROW()-816)),"")</f>
        <v>1.0</v>
      </c>
      <c r="B837" s="114" t="str" cm="1">
        <f t="array" ref="B837">IFERROR(INDEX('03.Muestra'!$C$8:$C$42,SMALL(IF("Página Web"='03.Muestra'!$D$8:$D$42,ROW('03.Muestra'!$C$8:$C$42)-MIN(ROW('03.Muestra'!$D$8:$D$42))+1,""),ROW()-816)),"")</f>
        <v>Home - PortCastelló</v>
      </c>
      <c r="C837" s="114" t="str" cm="1">
        <f t="array" ref="C837">IFERROR(INDEX('03.Muestra'!$F$8:$F$42,SMALL(IF("Página Web"='03.Muestra'!$D$8:$D$42,ROW('03.Muestra'!$F$8:$F$42)-MIN(ROW('03.Muestra'!$D$8:$D$42))+1,""),ROW()-816)),"")</f>
        <v>https://www.portcastello.com/</v>
      </c>
      <c r="D837" s="130" t="str">
        <f t="shared" si="43"/>
        <v>N/T</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n" cm="1">
        <f t="array" ref="A838">IFERROR(INDEX('03.Muestra'!$B$8:$B$42,SMALL(IF("Página Web"='03.Muestra'!$D$8:$D$42,ROW('03.Muestra'!$B$8:$B$42)-MIN(ROW('03.Muestra'!$D$8:$D$42))+1,""),ROW()-816)),"")</f>
        <v>1.0</v>
      </c>
      <c r="B838" s="114" t="str" cm="1">
        <f t="array" ref="B838">IFERROR(INDEX('03.Muestra'!$C$8:$C$42,SMALL(IF("Página Web"='03.Muestra'!$D$8:$D$42,ROW('03.Muestra'!$C$8:$C$42)-MIN(ROW('03.Muestra'!$D$8:$D$42))+1,""),ROW()-816)),"")</f>
        <v>Home - PortCastelló</v>
      </c>
      <c r="C838" s="114" t="str" cm="1">
        <f t="array" ref="C838">IFERROR(INDEX('03.Muestra'!$F$8:$F$42,SMALL(IF("Página Web"='03.Muestra'!$D$8:$D$42,ROW('03.Muestra'!$F$8:$F$42)-MIN(ROW('03.Muestra'!$D$8:$D$42))+1,""),ROW()-816)),"")</f>
        <v>https://www.portcastello.com/</v>
      </c>
      <c r="D838" s="130" t="str">
        <f t="shared" si="43"/>
        <v>N/T</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n" cm="1">
        <f t="array" ref="A839">IFERROR(INDEX('03.Muestra'!$B$8:$B$42,SMALL(IF("Página Web"='03.Muestra'!$D$8:$D$42,ROW('03.Muestra'!$B$8:$B$42)-MIN(ROW('03.Muestra'!$D$8:$D$42))+1,""),ROW()-816)),"")</f>
        <v>1.0</v>
      </c>
      <c r="B839" s="114" t="str" cm="1">
        <f t="array" ref="B839">IFERROR(INDEX('03.Muestra'!$C$8:$C$42,SMALL(IF("Página Web"='03.Muestra'!$D$8:$D$42,ROW('03.Muestra'!$C$8:$C$42)-MIN(ROW('03.Muestra'!$D$8:$D$42))+1,""),ROW()-816)),"")</f>
        <v>Home - PortCastelló</v>
      </c>
      <c r="C839" s="114" t="str" cm="1">
        <f t="array" ref="C839">IFERROR(INDEX('03.Muestra'!$F$8:$F$42,SMALL(IF("Página Web"='03.Muestra'!$D$8:$D$42,ROW('03.Muestra'!$F$8:$F$42)-MIN(ROW('03.Muestra'!$D$8:$D$42))+1,""),ROW()-816)),"")</f>
        <v>https://www.portcastello.com/</v>
      </c>
      <c r="D839" s="130" t="str">
        <f t="shared" si="43"/>
        <v>N/T</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n" cm="1">
        <f t="array" ref="A840">IFERROR(INDEX('03.Muestra'!$B$8:$B$42,SMALL(IF("Página Web"='03.Muestra'!$D$8:$D$42,ROW('03.Muestra'!$B$8:$B$42)-MIN(ROW('03.Muestra'!$D$8:$D$42))+1,""),ROW()-816)),"")</f>
        <v>1.0</v>
      </c>
      <c r="B840" s="114" t="str" cm="1">
        <f t="array" ref="B840">IFERROR(INDEX('03.Muestra'!$C$8:$C$42,SMALL(IF("Página Web"='03.Muestra'!$D$8:$D$42,ROW('03.Muestra'!$C$8:$C$42)-MIN(ROW('03.Muestra'!$D$8:$D$42))+1,""),ROW()-816)),"")</f>
        <v>Home - PortCastelló</v>
      </c>
      <c r="C840" s="114" t="str" cm="1">
        <f t="array" ref="C840">IFERROR(INDEX('03.Muestra'!$F$8:$F$42,SMALL(IF("Página Web"='03.Muestra'!$D$8:$D$42,ROW('03.Muestra'!$F$8:$F$42)-MIN(ROW('03.Muestra'!$D$8:$D$42))+1,""),ROW()-816)),"")</f>
        <v>https://www.portcastello.com/</v>
      </c>
      <c r="D840" s="130" t="str">
        <f t="shared" si="43"/>
        <v>N/T</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n" cm="1">
        <f t="array" ref="A841">IFERROR(INDEX('03.Muestra'!$B$8:$B$42,SMALL(IF("Página Web"='03.Muestra'!$D$8:$D$42,ROW('03.Muestra'!$B$8:$B$42)-MIN(ROW('03.Muestra'!$D$8:$D$42))+1,""),ROW()-816)),"")</f>
        <v>1.0</v>
      </c>
      <c r="B841" s="114" t="str" cm="1">
        <f t="array" ref="B841">IFERROR(INDEX('03.Muestra'!$C$8:$C$42,SMALL(IF("Página Web"='03.Muestra'!$D$8:$D$42,ROW('03.Muestra'!$C$8:$C$42)-MIN(ROW('03.Muestra'!$D$8:$D$42))+1,""),ROW()-816)),"")</f>
        <v>Home - PortCastelló</v>
      </c>
      <c r="C841" s="114" t="str" cm="1">
        <f t="array" ref="C841">IFERROR(INDEX('03.Muestra'!$F$8:$F$42,SMALL(IF("Página Web"='03.Muestra'!$D$8:$D$42,ROW('03.Muestra'!$F$8:$F$42)-MIN(ROW('03.Muestra'!$D$8:$D$42))+1,""),ROW()-816)),"")</f>
        <v>https://www.portcastello.com/</v>
      </c>
      <c r="D841" s="130" t="str">
        <f t="shared" si="43"/>
        <v>N/T</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n" cm="1">
        <f t="array" ref="A842">IFERROR(INDEX('03.Muestra'!$B$8:$B$42,SMALL(IF("Página Web"='03.Muestra'!$D$8:$D$42,ROW('03.Muestra'!$B$8:$B$42)-MIN(ROW('03.Muestra'!$D$8:$D$42))+1,""),ROW()-816)),"")</f>
        <v>1.0</v>
      </c>
      <c r="B842" s="114" t="str" cm="1">
        <f t="array" ref="B842">IFERROR(INDEX('03.Muestra'!$C$8:$C$42,SMALL(IF("Página Web"='03.Muestra'!$D$8:$D$42,ROW('03.Muestra'!$C$8:$C$42)-MIN(ROW('03.Muestra'!$D$8:$D$42))+1,""),ROW()-816)),"")</f>
        <v>Home - PortCastelló</v>
      </c>
      <c r="C842" s="114" t="str" cm="1">
        <f t="array" ref="C842">IFERROR(INDEX('03.Muestra'!$F$8:$F$42,SMALL(IF("Página Web"='03.Muestra'!$D$8:$D$42,ROW('03.Muestra'!$F$8:$F$42)-MIN(ROW('03.Muestra'!$D$8:$D$42))+1,""),ROW()-816)),"")</f>
        <v>https://www.portcastello.com/</v>
      </c>
      <c r="D842" s="130" t="str">
        <f t="shared" si="43"/>
        <v>N/T</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n" cm="1">
        <f t="array" ref="A843">IFERROR(INDEX('03.Muestra'!$B$8:$B$42,SMALL(IF("Página Web"='03.Muestra'!$D$8:$D$42,ROW('03.Muestra'!$B$8:$B$42)-MIN(ROW('03.Muestra'!$D$8:$D$42))+1,""),ROW()-816)),"")</f>
        <v>1.0</v>
      </c>
      <c r="B843" s="114" t="str" cm="1">
        <f t="array" ref="B843">IFERROR(INDEX('03.Muestra'!$C$8:$C$42,SMALL(IF("Página Web"='03.Muestra'!$D$8:$D$42,ROW('03.Muestra'!$C$8:$C$42)-MIN(ROW('03.Muestra'!$D$8:$D$42))+1,""),ROW()-816)),"")</f>
        <v>Home - PortCastelló</v>
      </c>
      <c r="C843" s="114" t="str" cm="1">
        <f t="array" ref="C843">IFERROR(INDEX('03.Muestra'!$F$8:$F$42,SMALL(IF("Página Web"='03.Muestra'!$D$8:$D$42,ROW('03.Muestra'!$F$8:$F$42)-MIN(ROW('03.Muestra'!$D$8:$D$42))+1,""),ROW()-816)),"")</f>
        <v>https://www.portcastello.com/</v>
      </c>
      <c r="D843" s="130" t="str">
        <f t="shared" si="43"/>
        <v>N/T</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n" cm="1">
        <f t="array" ref="A844">IFERROR(INDEX('03.Muestra'!$B$8:$B$42,SMALL(IF("Página Web"='03.Muestra'!$D$8:$D$42,ROW('03.Muestra'!$B$8:$B$42)-MIN(ROW('03.Muestra'!$D$8:$D$42))+1,""),ROW()-816)),"")</f>
        <v>1.0</v>
      </c>
      <c r="B844" s="114" t="str" cm="1">
        <f t="array" ref="B844">IFERROR(INDEX('03.Muestra'!$C$8:$C$42,SMALL(IF("Página Web"='03.Muestra'!$D$8:$D$42,ROW('03.Muestra'!$C$8:$C$42)-MIN(ROW('03.Muestra'!$D$8:$D$42))+1,""),ROW()-816)),"")</f>
        <v>Home - PortCastelló</v>
      </c>
      <c r="C844" s="114" t="str" cm="1">
        <f t="array" ref="C844">IFERROR(INDEX('03.Muestra'!$F$8:$F$42,SMALL(IF("Página Web"='03.Muestra'!$D$8:$D$42,ROW('03.Muestra'!$F$8:$F$42)-MIN(ROW('03.Muestra'!$D$8:$D$42))+1,""),ROW()-816)),"")</f>
        <v>https://www.portcastello.com/</v>
      </c>
      <c r="D844" s="130" t="str">
        <f t="shared" si="43"/>
        <v>N/T</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n" cm="1">
        <f t="array" ref="A845">IFERROR(INDEX('03.Muestra'!$B$8:$B$42,SMALL(IF("Página Web"='03.Muestra'!$D$8:$D$42,ROW('03.Muestra'!$B$8:$B$42)-MIN(ROW('03.Muestra'!$D$8:$D$42))+1,""),ROW()-816)),"")</f>
        <v>1.0</v>
      </c>
      <c r="B845" s="114" t="str" cm="1">
        <f t="array" ref="B845">IFERROR(INDEX('03.Muestra'!$C$8:$C$42,SMALL(IF("Página Web"='03.Muestra'!$D$8:$D$42,ROW('03.Muestra'!$C$8:$C$42)-MIN(ROW('03.Muestra'!$D$8:$D$42))+1,""),ROW()-816)),"")</f>
        <v>Home - PortCastelló</v>
      </c>
      <c r="C845" s="114" t="str" cm="1">
        <f t="array" ref="C845">IFERROR(INDEX('03.Muestra'!$F$8:$F$42,SMALL(IF("Página Web"='03.Muestra'!$D$8:$D$42,ROW('03.Muestra'!$F$8:$F$42)-MIN(ROW('03.Muestra'!$D$8:$D$42))+1,""),ROW()-816)),"")</f>
        <v>https://www.portcastello.com/</v>
      </c>
      <c r="D845" s="130" t="str">
        <f t="shared" si="43"/>
        <v>N/T</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n" cm="1">
        <f t="array" ref="A846">IFERROR(INDEX('03.Muestra'!$B$8:$B$42,SMALL(IF("Página Web"='03.Muestra'!$D$8:$D$42,ROW('03.Muestra'!$B$8:$B$42)-MIN(ROW('03.Muestra'!$D$8:$D$42))+1,""),ROW()-816)),"")</f>
        <v>1.0</v>
      </c>
      <c r="B846" s="114" t="str" cm="1">
        <f t="array" ref="B846">IFERROR(INDEX('03.Muestra'!$C$8:$C$42,SMALL(IF("Página Web"='03.Muestra'!$D$8:$D$42,ROW('03.Muestra'!$C$8:$C$42)-MIN(ROW('03.Muestra'!$D$8:$D$42))+1,""),ROW()-816)),"")</f>
        <v>Home - PortCastelló</v>
      </c>
      <c r="C846" s="114" t="str" cm="1">
        <f t="array" ref="C846">IFERROR(INDEX('03.Muestra'!$F$8:$F$42,SMALL(IF("Página Web"='03.Muestra'!$D$8:$D$42,ROW('03.Muestra'!$F$8:$F$42)-MIN(ROW('03.Muestra'!$D$8:$D$42))+1,""),ROW()-816)),"")</f>
        <v>https://www.portcastello.com/</v>
      </c>
      <c r="D846" s="130" t="str">
        <f t="shared" si="43"/>
        <v>N/T</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n" cm="1">
        <f t="array" ref="A847">IFERROR(INDEX('03.Muestra'!$B$8:$B$42,SMALL(IF("Página Web"='03.Muestra'!$D$8:$D$42,ROW('03.Muestra'!$B$8:$B$42)-MIN(ROW('03.Muestra'!$D$8:$D$42))+1,""),ROW()-816)),"")</f>
        <v>1.0</v>
      </c>
      <c r="B847" s="114" t="str" cm="1">
        <f t="array" ref="B847">IFERROR(INDEX('03.Muestra'!$C$8:$C$42,SMALL(IF("Página Web"='03.Muestra'!$D$8:$D$42,ROW('03.Muestra'!$C$8:$C$42)-MIN(ROW('03.Muestra'!$D$8:$D$42))+1,""),ROW()-816)),"")</f>
        <v>Home - PortCastelló</v>
      </c>
      <c r="C847" s="114" t="str" cm="1">
        <f t="array" ref="C847">IFERROR(INDEX('03.Muestra'!$F$8:$F$42,SMALL(IF("Página Web"='03.Muestra'!$D$8:$D$42,ROW('03.Muestra'!$F$8:$F$42)-MIN(ROW('03.Muestra'!$D$8:$D$42))+1,""),ROW()-816)),"")</f>
        <v>https://www.portcastello.com/</v>
      </c>
      <c r="D847" s="130" t="str">
        <f t="shared" si="43"/>
        <v>N/T</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n" cm="1">
        <f t="array" ref="A848">IFERROR(INDEX('03.Muestra'!$B$8:$B$42,SMALL(IF("Página Web"='03.Muestra'!$D$8:$D$42,ROW('03.Muestra'!$B$8:$B$42)-MIN(ROW('03.Muestra'!$D$8:$D$42))+1,""),ROW()-816)),"")</f>
        <v>1.0</v>
      </c>
      <c r="B848" s="114" t="str" cm="1">
        <f t="array" ref="B848">IFERROR(INDEX('03.Muestra'!$C$8:$C$42,SMALL(IF("Página Web"='03.Muestra'!$D$8:$D$42,ROW('03.Muestra'!$C$8:$C$42)-MIN(ROW('03.Muestra'!$D$8:$D$42))+1,""),ROW()-816)),"")</f>
        <v>Home - PortCastelló</v>
      </c>
      <c r="C848" s="114" t="str" cm="1">
        <f t="array" ref="C848">IFERROR(INDEX('03.Muestra'!$F$8:$F$42,SMALL(IF("Página Web"='03.Muestra'!$D$8:$D$42,ROW('03.Muestra'!$F$8:$F$42)-MIN(ROW('03.Muestra'!$D$8:$D$42))+1,""),ROW()-816)),"")</f>
        <v>https://www.portcastello.com/</v>
      </c>
      <c r="D848" s="130" t="str">
        <f t="shared" si="43"/>
        <v>N/T</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n" cm="1">
        <f t="array" ref="A849">IFERROR(INDEX('03.Muestra'!$B$8:$B$42,SMALL(IF("Página Web"='03.Muestra'!$D$8:$D$42,ROW('03.Muestra'!$B$8:$B$42)-MIN(ROW('03.Muestra'!$D$8:$D$42))+1,""),ROW()-816)),"")</f>
        <v>1.0</v>
      </c>
      <c r="B849" s="114" t="str" cm="1">
        <f t="array" ref="B849">IFERROR(INDEX('03.Muestra'!$C$8:$C$42,SMALL(IF("Página Web"='03.Muestra'!$D$8:$D$42,ROW('03.Muestra'!$C$8:$C$42)-MIN(ROW('03.Muestra'!$D$8:$D$42))+1,""),ROW()-816)),"")</f>
        <v>Home - PortCastelló</v>
      </c>
      <c r="C849" s="114" t="str" cm="1">
        <f t="array" ref="C849">IFERROR(INDEX('03.Muestra'!$F$8:$F$42,SMALL(IF("Página Web"='03.Muestra'!$D$8:$D$42,ROW('03.Muestra'!$F$8:$F$42)-MIN(ROW('03.Muestra'!$D$8:$D$42))+1,""),ROW()-816)),"")</f>
        <v>https://www.portcastello.com/</v>
      </c>
      <c r="D849" s="130" t="str">
        <f t="shared" si="43"/>
        <v>N/T</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str" cm="1">
        <f t="array" ref="A850">IFERROR(INDEX('03.Muestra'!$B$8:$B$42,SMALL(IF("Página Web"='03.Muestra'!$D$8:$D$42,ROW('03.Muestra'!$B$8:$B$42)-MIN(ROW('03.Muestra'!$D$8:$D$42))+1,""),ROW()-816)),"")</f>
        <v/>
      </c>
      <c r="B850" s="114" t="str" cm="1">
        <f t="array" ref="B850">IFERROR(INDEX('03.Muestra'!$C$8:$C$42,SMALL(IF("Página Web"='03.Muestra'!$D$8:$D$42,ROW('03.Muestra'!$C$8:$C$42)-MIN(ROW('03.Muestra'!$D$8:$D$42))+1,""),ROW()-816)),"")</f>
        <v/>
      </c>
      <c r="C850" s="114" t="str" cm="1">
        <f t="array" ref="C850">IFERROR(INDEX('03.Muestra'!$F$8:$F$42,SMALL(IF("Página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268</v>
      </c>
      <c r="B854" s="24" t="s">
        <v>90</v>
      </c>
      <c r="C854" s="25" t="s">
        <v>395</v>
      </c>
      <c r="D854" s="26" t="s">
        <v>32</v>
      </c>
      <c r="E854" s="123"/>
      <c r="K854" s="233"/>
      <c r="L854" s="19"/>
      <c r="M854" s="19"/>
      <c r="N854" s="19"/>
      <c r="O854" s="19"/>
      <c r="P854" s="19"/>
      <c r="Q854" s="19"/>
      <c r="R854" s="19"/>
      <c r="S854" s="19"/>
      <c r="T854" s="19"/>
      <c r="U854" s="19"/>
      <c r="V854" s="19"/>
      <c r="W854" s="19"/>
      <c r="X854" s="19"/>
      <c r="Y854" s="19"/>
    </row>
    <row r="855" spans="1:25" ht="12" customHeight="1">
      <c r="A855" s="219" t="n" cm="1">
        <f t="array" ref="A855">IFERROR(INDEX('03.Muestra'!$B$8:$B$42,SMALL(IF("Página Web"='03.Muestra'!$D$8:$D$42,ROW('03.Muestra'!$B$8:$B$42)-MIN(ROW('03.Muestra'!$D$8:$D$42))+1,""),ROW()-854)),"")</f>
        <v>1.0</v>
      </c>
      <c r="B855" s="114" t="str" cm="1">
        <f t="array" ref="B855">IFERROR(INDEX('03.Muestra'!$C$8:$C$42,SMALL(IF("Página Web"='03.Muestra'!$D$8:$D$42,ROW('03.Muestra'!$C$8:$C$42)-MIN(ROW('03.Muestra'!$D$8:$D$42))+1,""),ROW()-854)),"")</f>
        <v>Home - PortCastelló</v>
      </c>
      <c r="C855" s="114" t="str" cm="1">
        <f t="array" ref="C855">IFERROR(INDEX('03.Muestra'!$F$8:$F$42,SMALL(IF("Página Web"='03.Muestra'!$D$8:$D$42,ROW('03.Muestra'!$F$8:$F$42)-MIN(ROW('03.Muestra'!$D$8:$D$42))+1,""),ROW()-854)),"")</f>
        <v>https://www.portcastello.com/</v>
      </c>
      <c r="D855" s="130" t="s">
        <v>37</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2" customHeight="1">
      <c r="A856" s="219" t="n" cm="1">
        <f t="array" ref="A856">IFERROR(INDEX('03.Muestra'!$B$8:$B$42,SMALL(IF("Página Web"='03.Muestra'!$D$8:$D$42,ROW('03.Muestra'!$B$8:$B$42)-MIN(ROW('03.Muestra'!$D$8:$D$42))+1,""),ROW()-854)),"")</f>
        <v>1.0</v>
      </c>
      <c r="B856" s="114" t="str" cm="1">
        <f t="array" ref="B856">IFERROR(INDEX('03.Muestra'!$C$8:$C$42,SMALL(IF("Página Web"='03.Muestra'!$D$8:$D$42,ROW('03.Muestra'!$C$8:$C$42)-MIN(ROW('03.Muestra'!$D$8:$D$42))+1,""),ROW()-854)),"")</f>
        <v>Home - PortCastelló</v>
      </c>
      <c r="C856" s="114" t="str" cm="1">
        <f t="array" ref="C856">IFERROR(INDEX('03.Muestra'!$F$8:$F$42,SMALL(IF("Página Web"='03.Muestra'!$D$8:$D$42,ROW('03.Muestra'!$F$8:$F$42)-MIN(ROW('03.Muestra'!$D$8:$D$42))+1,""),ROW()-854)),"")</f>
        <v>https://www.portcastello.com/</v>
      </c>
      <c r="D856" s="130" t="s">
        <v>37</v>
      </c>
      <c r="E856" s="107" t="str">
        <f t="shared" si="44"/>
        <v/>
      </c>
      <c r="F856" s="120" t="n">
        <f ca="1">COUNTIF($D855:INDIRECT("$D" &amp;  SUM(ROW()-1,'03.Muestra'!$D$45)-1),F855)</f>
        <v>0.0</v>
      </c>
      <c r="G856" s="120" t="n">
        <f ca="1">COUNTIF($D855:INDIRECT("$D" &amp;  SUM(ROW()-1,'03.Muestra'!$D$45)-1),G855)</f>
        <v>33.0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IF(COUNTIF('03.Muestra'!$D$8:$D$42,"Página Web")=0,0,COUNTBLANK($D855:INDIRECT("$D" &amp;  SUM(ROW()-1,COUNTIF('03.Muestra'!$D$8:$D$42,"Página Web"))-1)))</f>
        <v>0.0</v>
      </c>
      <c r="L856" s="19"/>
      <c r="M856" s="19"/>
      <c r="N856" s="19"/>
      <c r="O856" s="19"/>
      <c r="P856" s="19"/>
      <c r="Q856" s="19"/>
      <c r="R856" s="19"/>
      <c r="S856" s="19"/>
      <c r="T856" s="19"/>
      <c r="U856" s="19"/>
      <c r="V856" s="19"/>
      <c r="W856" s="19"/>
      <c r="X856" s="19"/>
      <c r="Y856" s="19"/>
    </row>
    <row r="857" spans="1:25" ht="12" customHeight="1">
      <c r="A857" s="219" t="n" cm="1">
        <f t="array" ref="A857">IFERROR(INDEX('03.Muestra'!$B$8:$B$42,SMALL(IF("Página Web"='03.Muestra'!$D$8:$D$42,ROW('03.Muestra'!$B$8:$B$42)-MIN(ROW('03.Muestra'!$D$8:$D$42))+1,""),ROW()-854)),"")</f>
        <v>1.0</v>
      </c>
      <c r="B857" s="114" t="str" cm="1">
        <f t="array" ref="B857">IFERROR(INDEX('03.Muestra'!$C$8:$C$42,SMALL(IF("Página Web"='03.Muestra'!$D$8:$D$42,ROW('03.Muestra'!$C$8:$C$42)-MIN(ROW('03.Muestra'!$D$8:$D$42))+1,""),ROW()-854)),"")</f>
        <v>Home - PortCastelló</v>
      </c>
      <c r="C857" s="114" t="str" cm="1">
        <f t="array" ref="C857">IFERROR(INDEX('03.Muestra'!$F$8:$F$42,SMALL(IF("Página Web"='03.Muestra'!$D$8:$D$42,ROW('03.Muestra'!$F$8:$F$42)-MIN(ROW('03.Muestra'!$D$8:$D$42))+1,""),ROW()-854)),"")</f>
        <v>https://www.portcastello.com/</v>
      </c>
      <c r="D857" s="130" t="s">
        <v>37</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t="n" cm="1">
        <f t="array" ref="A858">IFERROR(INDEX('03.Muestra'!$B$8:$B$42,SMALL(IF("Página Web"='03.Muestra'!$D$8:$D$42,ROW('03.Muestra'!$B$8:$B$42)-MIN(ROW('03.Muestra'!$D$8:$D$42))+1,""),ROW()-854)),"")</f>
        <v>1.0</v>
      </c>
      <c r="B858" s="114" t="str" cm="1">
        <f t="array" ref="B858">IFERROR(INDEX('03.Muestra'!$C$8:$C$42,SMALL(IF("Página Web"='03.Muestra'!$D$8:$D$42,ROW('03.Muestra'!$C$8:$C$42)-MIN(ROW('03.Muestra'!$D$8:$D$42))+1,""),ROW()-854)),"")</f>
        <v>Home - PortCastelló</v>
      </c>
      <c r="C858" s="114" t="str" cm="1">
        <f t="array" ref="C858">IFERROR(INDEX('03.Muestra'!$F$8:$F$42,SMALL(IF("Página Web"='03.Muestra'!$D$8:$D$42,ROW('03.Muestra'!$F$8:$F$42)-MIN(ROW('03.Muestra'!$D$8:$D$42))+1,""),ROW()-854)),"")</f>
        <v>https://www.portcastello.com/</v>
      </c>
      <c r="D858" s="130" t="s">
        <v>37</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t="n" cm="1">
        <f t="array" ref="A859">IFERROR(INDEX('03.Muestra'!$B$8:$B$42,SMALL(IF("Página Web"='03.Muestra'!$D$8:$D$42,ROW('03.Muestra'!$B$8:$B$42)-MIN(ROW('03.Muestra'!$D$8:$D$42))+1,""),ROW()-854)),"")</f>
        <v>1.0</v>
      </c>
      <c r="B859" s="114" t="str" cm="1">
        <f t="array" ref="B859">IFERROR(INDEX('03.Muestra'!$C$8:$C$42,SMALL(IF("Página Web"='03.Muestra'!$D$8:$D$42,ROW('03.Muestra'!$C$8:$C$42)-MIN(ROW('03.Muestra'!$D$8:$D$42))+1,""),ROW()-854)),"")</f>
        <v>Home - PortCastelló</v>
      </c>
      <c r="C859" s="114" t="str" cm="1">
        <f t="array" ref="C859">IFERROR(INDEX('03.Muestra'!$F$8:$F$42,SMALL(IF("Página Web"='03.Muestra'!$D$8:$D$42,ROW('03.Muestra'!$F$8:$F$42)-MIN(ROW('03.Muestra'!$D$8:$D$42))+1,""),ROW()-854)),"")</f>
        <v>https://www.portcastello.com/</v>
      </c>
      <c r="D859" s="130" t="s">
        <v>37</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t="n" cm="1">
        <f t="array" ref="A860">IFERROR(INDEX('03.Muestra'!$B$8:$B$42,SMALL(IF("Página Web"='03.Muestra'!$D$8:$D$42,ROW('03.Muestra'!$B$8:$B$42)-MIN(ROW('03.Muestra'!$D$8:$D$42))+1,""),ROW()-854)),"")</f>
        <v>1.0</v>
      </c>
      <c r="B860" s="114" t="str" cm="1">
        <f t="array" ref="B860">IFERROR(INDEX('03.Muestra'!$C$8:$C$42,SMALL(IF("Página Web"='03.Muestra'!$D$8:$D$42,ROW('03.Muestra'!$C$8:$C$42)-MIN(ROW('03.Muestra'!$D$8:$D$42))+1,""),ROW()-854)),"")</f>
        <v>Home - PortCastelló</v>
      </c>
      <c r="C860" s="114" t="str" cm="1">
        <f t="array" ref="C860">IFERROR(INDEX('03.Muestra'!$F$8:$F$42,SMALL(IF("Página Web"='03.Muestra'!$D$8:$D$42,ROW('03.Muestra'!$F$8:$F$42)-MIN(ROW('03.Muestra'!$D$8:$D$42))+1,""),ROW()-854)),"")</f>
        <v>https://www.portcastello.com/</v>
      </c>
      <c r="D860" s="130" t="s">
        <v>37</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t="n" cm="1">
        <f t="array" ref="A861">IFERROR(INDEX('03.Muestra'!$B$8:$B$42,SMALL(IF("Página Web"='03.Muestra'!$D$8:$D$42,ROW('03.Muestra'!$B$8:$B$42)-MIN(ROW('03.Muestra'!$D$8:$D$42))+1,""),ROW()-854)),"")</f>
        <v>1.0</v>
      </c>
      <c r="B861" s="114" t="str" cm="1">
        <f t="array" ref="B861">IFERROR(INDEX('03.Muestra'!$C$8:$C$42,SMALL(IF("Página Web"='03.Muestra'!$D$8:$D$42,ROW('03.Muestra'!$C$8:$C$42)-MIN(ROW('03.Muestra'!$D$8:$D$42))+1,""),ROW()-854)),"")</f>
        <v>Home - PortCastelló</v>
      </c>
      <c r="C861" s="114" t="str" cm="1">
        <f t="array" ref="C861">IFERROR(INDEX('03.Muestra'!$F$8:$F$42,SMALL(IF("Página Web"='03.Muestra'!$D$8:$D$42,ROW('03.Muestra'!$F$8:$F$42)-MIN(ROW('03.Muestra'!$D$8:$D$42))+1,""),ROW()-854)),"")</f>
        <v>https://www.portcastello.com/</v>
      </c>
      <c r="D861" s="130" t="s">
        <v>37</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t="n" cm="1">
        <f t="array" ref="A862">IFERROR(INDEX('03.Muestra'!$B$8:$B$42,SMALL(IF("Página Web"='03.Muestra'!$D$8:$D$42,ROW('03.Muestra'!$B$8:$B$42)-MIN(ROW('03.Muestra'!$D$8:$D$42))+1,""),ROW()-854)),"")</f>
        <v>1.0</v>
      </c>
      <c r="B862" s="114" t="str" cm="1">
        <f t="array" ref="B862">IFERROR(INDEX('03.Muestra'!$C$8:$C$42,SMALL(IF("Página Web"='03.Muestra'!$D$8:$D$42,ROW('03.Muestra'!$C$8:$C$42)-MIN(ROW('03.Muestra'!$D$8:$D$42))+1,""),ROW()-854)),"")</f>
        <v>Home - PortCastelló</v>
      </c>
      <c r="C862" s="114" t="str" cm="1">
        <f t="array" ref="C862">IFERROR(INDEX('03.Muestra'!$F$8:$F$42,SMALL(IF("Página Web"='03.Muestra'!$D$8:$D$42,ROW('03.Muestra'!$F$8:$F$42)-MIN(ROW('03.Muestra'!$D$8:$D$42))+1,""),ROW()-854)),"")</f>
        <v>https://www.portcastello.com/</v>
      </c>
      <c r="D862" s="130" t="s">
        <v>37</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n" cm="1">
        <f t="array" ref="A863">IFERROR(INDEX('03.Muestra'!$B$8:$B$42,SMALL(IF("Página Web"='03.Muestra'!$D$8:$D$42,ROW('03.Muestra'!$B$8:$B$42)-MIN(ROW('03.Muestra'!$D$8:$D$42))+1,""),ROW()-854)),"")</f>
        <v>1.0</v>
      </c>
      <c r="B863" s="114" t="str" cm="1">
        <f t="array" ref="B863">IFERROR(INDEX('03.Muestra'!$C$8:$C$42,SMALL(IF("Página Web"='03.Muestra'!$D$8:$D$42,ROW('03.Muestra'!$C$8:$C$42)-MIN(ROW('03.Muestra'!$D$8:$D$42))+1,""),ROW()-854)),"")</f>
        <v>Home - PortCastelló</v>
      </c>
      <c r="C863" s="114" t="str" cm="1">
        <f t="array" ref="C863">IFERROR(INDEX('03.Muestra'!$F$8:$F$42,SMALL(IF("Página Web"='03.Muestra'!$D$8:$D$42,ROW('03.Muestra'!$F$8:$F$42)-MIN(ROW('03.Muestra'!$D$8:$D$42))+1,""),ROW()-854)),"")</f>
        <v>https://www.portcastello.com/</v>
      </c>
      <c r="D863" s="130" t="s">
        <v>37</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n" cm="1">
        <f t="array" ref="A864">IFERROR(INDEX('03.Muestra'!$B$8:$B$42,SMALL(IF("Página Web"='03.Muestra'!$D$8:$D$42,ROW('03.Muestra'!$B$8:$B$42)-MIN(ROW('03.Muestra'!$D$8:$D$42))+1,""),ROW()-854)),"")</f>
        <v>1.0</v>
      </c>
      <c r="B864" s="114" t="str" cm="1">
        <f t="array" ref="B864">IFERROR(INDEX('03.Muestra'!$C$8:$C$42,SMALL(IF("Página Web"='03.Muestra'!$D$8:$D$42,ROW('03.Muestra'!$C$8:$C$42)-MIN(ROW('03.Muestra'!$D$8:$D$42))+1,""),ROW()-854)),"")</f>
        <v>Home - PortCastelló</v>
      </c>
      <c r="C864" s="114" t="str" cm="1">
        <f t="array" ref="C864">IFERROR(INDEX('03.Muestra'!$F$8:$F$42,SMALL(IF("Página Web"='03.Muestra'!$D$8:$D$42,ROW('03.Muestra'!$F$8:$F$42)-MIN(ROW('03.Muestra'!$D$8:$D$42))+1,""),ROW()-854)),"")</f>
        <v>https://www.portcastello.com/</v>
      </c>
      <c r="D864" s="130" t="s">
        <v>37</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n" cm="1">
        <f t="array" ref="A865">IFERROR(INDEX('03.Muestra'!$B$8:$B$42,SMALL(IF("Página Web"='03.Muestra'!$D$8:$D$42,ROW('03.Muestra'!$B$8:$B$42)-MIN(ROW('03.Muestra'!$D$8:$D$42))+1,""),ROW()-854)),"")</f>
        <v>1.0</v>
      </c>
      <c r="B865" s="114" t="str" cm="1">
        <f t="array" ref="B865">IFERROR(INDEX('03.Muestra'!$C$8:$C$42,SMALL(IF("Página Web"='03.Muestra'!$D$8:$D$42,ROW('03.Muestra'!$C$8:$C$42)-MIN(ROW('03.Muestra'!$D$8:$D$42))+1,""),ROW()-854)),"")</f>
        <v>Home - PortCastelló</v>
      </c>
      <c r="C865" s="114" t="str" cm="1">
        <f t="array" ref="C865">IFERROR(INDEX('03.Muestra'!$F$8:$F$42,SMALL(IF("Página Web"='03.Muestra'!$D$8:$D$42,ROW('03.Muestra'!$F$8:$F$42)-MIN(ROW('03.Muestra'!$D$8:$D$42))+1,""),ROW()-854)),"")</f>
        <v>https://www.portcastello.com/</v>
      </c>
      <c r="D865" s="130" t="s">
        <v>37</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n" cm="1">
        <f t="array" ref="A866">IFERROR(INDEX('03.Muestra'!$B$8:$B$42,SMALL(IF("Página Web"='03.Muestra'!$D$8:$D$42,ROW('03.Muestra'!$B$8:$B$42)-MIN(ROW('03.Muestra'!$D$8:$D$42))+1,""),ROW()-854)),"")</f>
        <v>1.0</v>
      </c>
      <c r="B866" s="114" t="str" cm="1">
        <f t="array" ref="B866">IFERROR(INDEX('03.Muestra'!$C$8:$C$42,SMALL(IF("Página Web"='03.Muestra'!$D$8:$D$42,ROW('03.Muestra'!$C$8:$C$42)-MIN(ROW('03.Muestra'!$D$8:$D$42))+1,""),ROW()-854)),"")</f>
        <v>Home - PortCastelló</v>
      </c>
      <c r="C866" s="114" t="str" cm="1">
        <f t="array" ref="C866">IFERROR(INDEX('03.Muestra'!$F$8:$F$42,SMALL(IF("Página Web"='03.Muestra'!$D$8:$D$42,ROW('03.Muestra'!$F$8:$F$42)-MIN(ROW('03.Muestra'!$D$8:$D$42))+1,""),ROW()-854)),"")</f>
        <v>https://www.portcastello.com/</v>
      </c>
      <c r="D866" s="130" t="s">
        <v>37</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n" cm="1">
        <f t="array" ref="A867">IFERROR(INDEX('03.Muestra'!$B$8:$B$42,SMALL(IF("Página Web"='03.Muestra'!$D$8:$D$42,ROW('03.Muestra'!$B$8:$B$42)-MIN(ROW('03.Muestra'!$D$8:$D$42))+1,""),ROW()-854)),"")</f>
        <v>1.0</v>
      </c>
      <c r="B867" s="114" t="str" cm="1">
        <f t="array" ref="B867">IFERROR(INDEX('03.Muestra'!$C$8:$C$42,SMALL(IF("Página Web"='03.Muestra'!$D$8:$D$42,ROW('03.Muestra'!$C$8:$C$42)-MIN(ROW('03.Muestra'!$D$8:$D$42))+1,""),ROW()-854)),"")</f>
        <v>Home - PortCastelló</v>
      </c>
      <c r="C867" s="114" t="str" cm="1">
        <f t="array" ref="C867">IFERROR(INDEX('03.Muestra'!$F$8:$F$42,SMALL(IF("Página Web"='03.Muestra'!$D$8:$D$42,ROW('03.Muestra'!$F$8:$F$42)-MIN(ROW('03.Muestra'!$D$8:$D$42))+1,""),ROW()-854)),"")</f>
        <v>https://www.portcastello.com/</v>
      </c>
      <c r="D867" s="130" t="s">
        <v>37</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n" cm="1">
        <f t="array" ref="A868">IFERROR(INDEX('03.Muestra'!$B$8:$B$42,SMALL(IF("Página Web"='03.Muestra'!$D$8:$D$42,ROW('03.Muestra'!$B$8:$B$42)-MIN(ROW('03.Muestra'!$D$8:$D$42))+1,""),ROW()-854)),"")</f>
        <v>1.0</v>
      </c>
      <c r="B868" s="114" t="str" cm="1">
        <f t="array" ref="B868">IFERROR(INDEX('03.Muestra'!$C$8:$C$42,SMALL(IF("Página Web"='03.Muestra'!$D$8:$D$42,ROW('03.Muestra'!$C$8:$C$42)-MIN(ROW('03.Muestra'!$D$8:$D$42))+1,""),ROW()-854)),"")</f>
        <v>Home - PortCastelló</v>
      </c>
      <c r="C868" s="114" t="str" cm="1">
        <f t="array" ref="C868">IFERROR(INDEX('03.Muestra'!$F$8:$F$42,SMALL(IF("Página Web"='03.Muestra'!$D$8:$D$42,ROW('03.Muestra'!$F$8:$F$42)-MIN(ROW('03.Muestra'!$D$8:$D$42))+1,""),ROW()-854)),"")</f>
        <v>https://www.portcastello.com/</v>
      </c>
      <c r="D868" s="130" t="s">
        <v>37</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n" cm="1">
        <f t="array" ref="A869">IFERROR(INDEX('03.Muestra'!$B$8:$B$42,SMALL(IF("Página Web"='03.Muestra'!$D$8:$D$42,ROW('03.Muestra'!$B$8:$B$42)-MIN(ROW('03.Muestra'!$D$8:$D$42))+1,""),ROW()-854)),"")</f>
        <v>1.0</v>
      </c>
      <c r="B869" s="114" t="str" cm="1">
        <f t="array" ref="B869">IFERROR(INDEX('03.Muestra'!$C$8:$C$42,SMALL(IF("Página Web"='03.Muestra'!$D$8:$D$42,ROW('03.Muestra'!$C$8:$C$42)-MIN(ROW('03.Muestra'!$D$8:$D$42))+1,""),ROW()-854)),"")</f>
        <v>Home - PortCastelló</v>
      </c>
      <c r="C869" s="114" t="str" cm="1">
        <f t="array" ref="C869">IFERROR(INDEX('03.Muestra'!$F$8:$F$42,SMALL(IF("Página Web"='03.Muestra'!$D$8:$D$42,ROW('03.Muestra'!$F$8:$F$42)-MIN(ROW('03.Muestra'!$D$8:$D$42))+1,""),ROW()-854)),"")</f>
        <v>https://www.portcastello.com/</v>
      </c>
      <c r="D869" s="130" t="s">
        <v>37</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n" cm="1">
        <f t="array" ref="A870">IFERROR(INDEX('03.Muestra'!$B$8:$B$42,SMALL(IF("Página Web"='03.Muestra'!$D$8:$D$42,ROW('03.Muestra'!$B$8:$B$42)-MIN(ROW('03.Muestra'!$D$8:$D$42))+1,""),ROW()-854)),"")</f>
        <v>1.0</v>
      </c>
      <c r="B870" s="114" t="str" cm="1">
        <f t="array" ref="B870">IFERROR(INDEX('03.Muestra'!$C$8:$C$42,SMALL(IF("Página Web"='03.Muestra'!$D$8:$D$42,ROW('03.Muestra'!$C$8:$C$42)-MIN(ROW('03.Muestra'!$D$8:$D$42))+1,""),ROW()-854)),"")</f>
        <v>Home - PortCastelló</v>
      </c>
      <c r="C870" s="114" t="str" cm="1">
        <f t="array" ref="C870">IFERROR(INDEX('03.Muestra'!$F$8:$F$42,SMALL(IF("Página Web"='03.Muestra'!$D$8:$D$42,ROW('03.Muestra'!$F$8:$F$42)-MIN(ROW('03.Muestra'!$D$8:$D$42))+1,""),ROW()-854)),"")</f>
        <v>https://www.portcastello.com/</v>
      </c>
      <c r="D870" s="130" t="s">
        <v>37</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n" cm="1">
        <f t="array" ref="A871">IFERROR(INDEX('03.Muestra'!$B$8:$B$42,SMALL(IF("Página Web"='03.Muestra'!$D$8:$D$42,ROW('03.Muestra'!$B$8:$B$42)-MIN(ROW('03.Muestra'!$D$8:$D$42))+1,""),ROW()-854)),"")</f>
        <v>1.0</v>
      </c>
      <c r="B871" s="114" t="str" cm="1">
        <f t="array" ref="B871">IFERROR(INDEX('03.Muestra'!$C$8:$C$42,SMALL(IF("Página Web"='03.Muestra'!$D$8:$D$42,ROW('03.Muestra'!$C$8:$C$42)-MIN(ROW('03.Muestra'!$D$8:$D$42))+1,""),ROW()-854)),"")</f>
        <v>Home - PortCastelló</v>
      </c>
      <c r="C871" s="114" t="str" cm="1">
        <f t="array" ref="C871">IFERROR(INDEX('03.Muestra'!$F$8:$F$42,SMALL(IF("Página Web"='03.Muestra'!$D$8:$D$42,ROW('03.Muestra'!$F$8:$F$42)-MIN(ROW('03.Muestra'!$D$8:$D$42))+1,""),ROW()-854)),"")</f>
        <v>https://www.portcastello.com/</v>
      </c>
      <c r="D871" s="130" t="s">
        <v>37</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n" cm="1">
        <f t="array" ref="A872">IFERROR(INDEX('03.Muestra'!$B$8:$B$42,SMALL(IF("Página Web"='03.Muestra'!$D$8:$D$42,ROW('03.Muestra'!$B$8:$B$42)-MIN(ROW('03.Muestra'!$D$8:$D$42))+1,""),ROW()-854)),"")</f>
        <v>1.0</v>
      </c>
      <c r="B872" s="114" t="str" cm="1">
        <f t="array" ref="B872">IFERROR(INDEX('03.Muestra'!$C$8:$C$42,SMALL(IF("Página Web"='03.Muestra'!$D$8:$D$42,ROW('03.Muestra'!$C$8:$C$42)-MIN(ROW('03.Muestra'!$D$8:$D$42))+1,""),ROW()-854)),"")</f>
        <v>Home - PortCastelló</v>
      </c>
      <c r="C872" s="114" t="str" cm="1">
        <f t="array" ref="C872">IFERROR(INDEX('03.Muestra'!$F$8:$F$42,SMALL(IF("Página Web"='03.Muestra'!$D$8:$D$42,ROW('03.Muestra'!$F$8:$F$42)-MIN(ROW('03.Muestra'!$D$8:$D$42))+1,""),ROW()-854)),"")</f>
        <v>https://www.portcastello.com/</v>
      </c>
      <c r="D872" s="130" t="s">
        <v>37</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n" cm="1">
        <f t="array" ref="A873">IFERROR(INDEX('03.Muestra'!$B$8:$B$42,SMALL(IF("Página Web"='03.Muestra'!$D$8:$D$42,ROW('03.Muestra'!$B$8:$B$42)-MIN(ROW('03.Muestra'!$D$8:$D$42))+1,""),ROW()-854)),"")</f>
        <v>1.0</v>
      </c>
      <c r="B873" s="114" t="str" cm="1">
        <f t="array" ref="B873">IFERROR(INDEX('03.Muestra'!$C$8:$C$42,SMALL(IF("Página Web"='03.Muestra'!$D$8:$D$42,ROW('03.Muestra'!$C$8:$C$42)-MIN(ROW('03.Muestra'!$D$8:$D$42))+1,""),ROW()-854)),"")</f>
        <v>Home - PortCastelló</v>
      </c>
      <c r="C873" s="114" t="str" cm="1">
        <f t="array" ref="C873">IFERROR(INDEX('03.Muestra'!$F$8:$F$42,SMALL(IF("Página Web"='03.Muestra'!$D$8:$D$42,ROW('03.Muestra'!$F$8:$F$42)-MIN(ROW('03.Muestra'!$D$8:$D$42))+1,""),ROW()-854)),"")</f>
        <v>https://www.portcastello.com/</v>
      </c>
      <c r="D873" s="130" t="s">
        <v>37</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n" cm="1">
        <f t="array" ref="A874">IFERROR(INDEX('03.Muestra'!$B$8:$B$42,SMALL(IF("Página Web"='03.Muestra'!$D$8:$D$42,ROW('03.Muestra'!$B$8:$B$42)-MIN(ROW('03.Muestra'!$D$8:$D$42))+1,""),ROW()-854)),"")</f>
        <v>1.0</v>
      </c>
      <c r="B874" s="114" t="str" cm="1">
        <f t="array" ref="B874">IFERROR(INDEX('03.Muestra'!$C$8:$C$42,SMALL(IF("Página Web"='03.Muestra'!$D$8:$D$42,ROW('03.Muestra'!$C$8:$C$42)-MIN(ROW('03.Muestra'!$D$8:$D$42))+1,""),ROW()-854)),"")</f>
        <v>Home - PortCastelló</v>
      </c>
      <c r="C874" s="114" t="str" cm="1">
        <f t="array" ref="C874">IFERROR(INDEX('03.Muestra'!$F$8:$F$42,SMALL(IF("Página Web"='03.Muestra'!$D$8:$D$42,ROW('03.Muestra'!$F$8:$F$42)-MIN(ROW('03.Muestra'!$D$8:$D$42))+1,""),ROW()-854)),"")</f>
        <v>https://www.portcastello.com/</v>
      </c>
      <c r="D874" s="130" t="s">
        <v>37</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n" cm="1">
        <f t="array" ref="A875">IFERROR(INDEX('03.Muestra'!$B$8:$B$42,SMALL(IF("Página Web"='03.Muestra'!$D$8:$D$42,ROW('03.Muestra'!$B$8:$B$42)-MIN(ROW('03.Muestra'!$D$8:$D$42))+1,""),ROW()-854)),"")</f>
        <v>1.0</v>
      </c>
      <c r="B875" s="114" t="str" cm="1">
        <f t="array" ref="B875">IFERROR(INDEX('03.Muestra'!$C$8:$C$42,SMALL(IF("Página Web"='03.Muestra'!$D$8:$D$42,ROW('03.Muestra'!$C$8:$C$42)-MIN(ROW('03.Muestra'!$D$8:$D$42))+1,""),ROW()-854)),"")</f>
        <v>Home - PortCastelló</v>
      </c>
      <c r="C875" s="114" t="str" cm="1">
        <f t="array" ref="C875">IFERROR(INDEX('03.Muestra'!$F$8:$F$42,SMALL(IF("Página Web"='03.Muestra'!$D$8:$D$42,ROW('03.Muestra'!$F$8:$F$42)-MIN(ROW('03.Muestra'!$D$8:$D$42))+1,""),ROW()-854)),"")</f>
        <v>https://www.portcastello.com/</v>
      </c>
      <c r="D875" s="130" t="s">
        <v>37</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n" cm="1">
        <f t="array" ref="A876">IFERROR(INDEX('03.Muestra'!$B$8:$B$42,SMALL(IF("Página Web"='03.Muestra'!$D$8:$D$42,ROW('03.Muestra'!$B$8:$B$42)-MIN(ROW('03.Muestra'!$D$8:$D$42))+1,""),ROW()-854)),"")</f>
        <v>1.0</v>
      </c>
      <c r="B876" s="114" t="str" cm="1">
        <f t="array" ref="B876">IFERROR(INDEX('03.Muestra'!$C$8:$C$42,SMALL(IF("Página Web"='03.Muestra'!$D$8:$D$42,ROW('03.Muestra'!$C$8:$C$42)-MIN(ROW('03.Muestra'!$D$8:$D$42))+1,""),ROW()-854)),"")</f>
        <v>Home - PortCastelló</v>
      </c>
      <c r="C876" s="114" t="str" cm="1">
        <f t="array" ref="C876">IFERROR(INDEX('03.Muestra'!$F$8:$F$42,SMALL(IF("Página Web"='03.Muestra'!$D$8:$D$42,ROW('03.Muestra'!$F$8:$F$42)-MIN(ROW('03.Muestra'!$D$8:$D$42))+1,""),ROW()-854)),"")</f>
        <v>https://www.portcastello.com/</v>
      </c>
      <c r="D876" s="130" t="s">
        <v>37</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n" cm="1">
        <f t="array" ref="A877">IFERROR(INDEX('03.Muestra'!$B$8:$B$42,SMALL(IF("Página Web"='03.Muestra'!$D$8:$D$42,ROW('03.Muestra'!$B$8:$B$42)-MIN(ROW('03.Muestra'!$D$8:$D$42))+1,""),ROW()-854)),"")</f>
        <v>1.0</v>
      </c>
      <c r="B877" s="114" t="str" cm="1">
        <f t="array" ref="B877">IFERROR(INDEX('03.Muestra'!$C$8:$C$42,SMALL(IF("Página Web"='03.Muestra'!$D$8:$D$42,ROW('03.Muestra'!$C$8:$C$42)-MIN(ROW('03.Muestra'!$D$8:$D$42))+1,""),ROW()-854)),"")</f>
        <v>Home - PortCastelló</v>
      </c>
      <c r="C877" s="114" t="str" cm="1">
        <f t="array" ref="C877">IFERROR(INDEX('03.Muestra'!$F$8:$F$42,SMALL(IF("Página Web"='03.Muestra'!$D$8:$D$42,ROW('03.Muestra'!$F$8:$F$42)-MIN(ROW('03.Muestra'!$D$8:$D$42))+1,""),ROW()-854)),"")</f>
        <v>https://www.portcastello.com/</v>
      </c>
      <c r="D877" s="130" t="s">
        <v>37</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n" cm="1">
        <f t="array" ref="A878">IFERROR(INDEX('03.Muestra'!$B$8:$B$42,SMALL(IF("Página Web"='03.Muestra'!$D$8:$D$42,ROW('03.Muestra'!$B$8:$B$42)-MIN(ROW('03.Muestra'!$D$8:$D$42))+1,""),ROW()-854)),"")</f>
        <v>1.0</v>
      </c>
      <c r="B878" s="114" t="str" cm="1">
        <f t="array" ref="B878">IFERROR(INDEX('03.Muestra'!$C$8:$C$42,SMALL(IF("Página Web"='03.Muestra'!$D$8:$D$42,ROW('03.Muestra'!$C$8:$C$42)-MIN(ROW('03.Muestra'!$D$8:$D$42))+1,""),ROW()-854)),"")</f>
        <v>Home - PortCastelló</v>
      </c>
      <c r="C878" s="114" t="str" cm="1">
        <f t="array" ref="C878">IFERROR(INDEX('03.Muestra'!$F$8:$F$42,SMALL(IF("Página Web"='03.Muestra'!$D$8:$D$42,ROW('03.Muestra'!$F$8:$F$42)-MIN(ROW('03.Muestra'!$D$8:$D$42))+1,""),ROW()-854)),"")</f>
        <v>https://www.portcastello.com/</v>
      </c>
      <c r="D878" s="130" t="s">
        <v>37</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n" cm="1">
        <f t="array" ref="A879">IFERROR(INDEX('03.Muestra'!$B$8:$B$42,SMALL(IF("Página Web"='03.Muestra'!$D$8:$D$42,ROW('03.Muestra'!$B$8:$B$42)-MIN(ROW('03.Muestra'!$D$8:$D$42))+1,""),ROW()-854)),"")</f>
        <v>1.0</v>
      </c>
      <c r="B879" s="114" t="str" cm="1">
        <f t="array" ref="B879">IFERROR(INDEX('03.Muestra'!$C$8:$C$42,SMALL(IF("Página Web"='03.Muestra'!$D$8:$D$42,ROW('03.Muestra'!$C$8:$C$42)-MIN(ROW('03.Muestra'!$D$8:$D$42))+1,""),ROW()-854)),"")</f>
        <v>Home - PortCastelló</v>
      </c>
      <c r="C879" s="114" t="str" cm="1">
        <f t="array" ref="C879">IFERROR(INDEX('03.Muestra'!$F$8:$F$42,SMALL(IF("Página Web"='03.Muestra'!$D$8:$D$42,ROW('03.Muestra'!$F$8:$F$42)-MIN(ROW('03.Muestra'!$D$8:$D$42))+1,""),ROW()-854)),"")</f>
        <v>https://www.portcastello.com/</v>
      </c>
      <c r="D879" s="130" t="s">
        <v>37</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n" cm="1">
        <f t="array" ref="A880">IFERROR(INDEX('03.Muestra'!$B$8:$B$42,SMALL(IF("Página Web"='03.Muestra'!$D$8:$D$42,ROW('03.Muestra'!$B$8:$B$42)-MIN(ROW('03.Muestra'!$D$8:$D$42))+1,""),ROW()-854)),"")</f>
        <v>1.0</v>
      </c>
      <c r="B880" s="114" t="str" cm="1">
        <f t="array" ref="B880">IFERROR(INDEX('03.Muestra'!$C$8:$C$42,SMALL(IF("Página Web"='03.Muestra'!$D$8:$D$42,ROW('03.Muestra'!$C$8:$C$42)-MIN(ROW('03.Muestra'!$D$8:$D$42))+1,""),ROW()-854)),"")</f>
        <v>Home - PortCastelló</v>
      </c>
      <c r="C880" s="114" t="str" cm="1">
        <f t="array" ref="C880">IFERROR(INDEX('03.Muestra'!$F$8:$F$42,SMALL(IF("Página Web"='03.Muestra'!$D$8:$D$42,ROW('03.Muestra'!$F$8:$F$42)-MIN(ROW('03.Muestra'!$D$8:$D$42))+1,""),ROW()-854)),"")</f>
        <v>https://www.portcastello.com/</v>
      </c>
      <c r="D880" s="130" t="s">
        <v>37</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n" cm="1">
        <f t="array" ref="A881">IFERROR(INDEX('03.Muestra'!$B$8:$B$42,SMALL(IF("Página Web"='03.Muestra'!$D$8:$D$42,ROW('03.Muestra'!$B$8:$B$42)-MIN(ROW('03.Muestra'!$D$8:$D$42))+1,""),ROW()-854)),"")</f>
        <v>1.0</v>
      </c>
      <c r="B881" s="114" t="str" cm="1">
        <f t="array" ref="B881">IFERROR(INDEX('03.Muestra'!$C$8:$C$42,SMALL(IF("Página Web"='03.Muestra'!$D$8:$D$42,ROW('03.Muestra'!$C$8:$C$42)-MIN(ROW('03.Muestra'!$D$8:$D$42))+1,""),ROW()-854)),"")</f>
        <v>Home - PortCastelló</v>
      </c>
      <c r="C881" s="114" t="str" cm="1">
        <f t="array" ref="C881">IFERROR(INDEX('03.Muestra'!$F$8:$F$42,SMALL(IF("Página Web"='03.Muestra'!$D$8:$D$42,ROW('03.Muestra'!$F$8:$F$42)-MIN(ROW('03.Muestra'!$D$8:$D$42))+1,""),ROW()-854)),"")</f>
        <v>https://www.portcastello.com/</v>
      </c>
      <c r="D881" s="130" t="s">
        <v>37</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n" cm="1">
        <f t="array" ref="A882">IFERROR(INDEX('03.Muestra'!$B$8:$B$42,SMALL(IF("Página Web"='03.Muestra'!$D$8:$D$42,ROW('03.Muestra'!$B$8:$B$42)-MIN(ROW('03.Muestra'!$D$8:$D$42))+1,""),ROW()-854)),"")</f>
        <v>1.0</v>
      </c>
      <c r="B882" s="114" t="str" cm="1">
        <f t="array" ref="B882">IFERROR(INDEX('03.Muestra'!$C$8:$C$42,SMALL(IF("Página Web"='03.Muestra'!$D$8:$D$42,ROW('03.Muestra'!$C$8:$C$42)-MIN(ROW('03.Muestra'!$D$8:$D$42))+1,""),ROW()-854)),"")</f>
        <v>Home - PortCastelló</v>
      </c>
      <c r="C882" s="114" t="str" cm="1">
        <f t="array" ref="C882">IFERROR(INDEX('03.Muestra'!$F$8:$F$42,SMALL(IF("Página Web"='03.Muestra'!$D$8:$D$42,ROW('03.Muestra'!$F$8:$F$42)-MIN(ROW('03.Muestra'!$D$8:$D$42))+1,""),ROW()-854)),"")</f>
        <v>https://www.portcastello.com/</v>
      </c>
      <c r="D882" s="130" t="s">
        <v>37</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n" cm="1">
        <f t="array" ref="A883">IFERROR(INDEX('03.Muestra'!$B$8:$B$42,SMALL(IF("Página Web"='03.Muestra'!$D$8:$D$42,ROW('03.Muestra'!$B$8:$B$42)-MIN(ROW('03.Muestra'!$D$8:$D$42))+1,""),ROW()-854)),"")</f>
        <v>1.0</v>
      </c>
      <c r="B883" s="114" t="str" cm="1">
        <f t="array" ref="B883">IFERROR(INDEX('03.Muestra'!$C$8:$C$42,SMALL(IF("Página Web"='03.Muestra'!$D$8:$D$42,ROW('03.Muestra'!$C$8:$C$42)-MIN(ROW('03.Muestra'!$D$8:$D$42))+1,""),ROW()-854)),"")</f>
        <v>Home - PortCastelló</v>
      </c>
      <c r="C883" s="114" t="str" cm="1">
        <f t="array" ref="C883">IFERROR(INDEX('03.Muestra'!$F$8:$F$42,SMALL(IF("Página Web"='03.Muestra'!$D$8:$D$42,ROW('03.Muestra'!$F$8:$F$42)-MIN(ROW('03.Muestra'!$D$8:$D$42))+1,""),ROW()-854)),"")</f>
        <v>https://www.portcastello.com/</v>
      </c>
      <c r="D883" s="130" t="s">
        <v>37</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n" cm="1">
        <f t="array" ref="A884">IFERROR(INDEX('03.Muestra'!$B$8:$B$42,SMALL(IF("Página Web"='03.Muestra'!$D$8:$D$42,ROW('03.Muestra'!$B$8:$B$42)-MIN(ROW('03.Muestra'!$D$8:$D$42))+1,""),ROW()-854)),"")</f>
        <v>1.0</v>
      </c>
      <c r="B884" s="114" t="str" cm="1">
        <f t="array" ref="B884">IFERROR(INDEX('03.Muestra'!$C$8:$C$42,SMALL(IF("Página Web"='03.Muestra'!$D$8:$D$42,ROW('03.Muestra'!$C$8:$C$42)-MIN(ROW('03.Muestra'!$D$8:$D$42))+1,""),ROW()-854)),"")</f>
        <v>Home - PortCastelló</v>
      </c>
      <c r="C884" s="114" t="str" cm="1">
        <f t="array" ref="C884">IFERROR(INDEX('03.Muestra'!$F$8:$F$42,SMALL(IF("Página Web"='03.Muestra'!$D$8:$D$42,ROW('03.Muestra'!$F$8:$F$42)-MIN(ROW('03.Muestra'!$D$8:$D$42))+1,""),ROW()-854)),"")</f>
        <v>https://www.portcastello.com/</v>
      </c>
      <c r="D884" s="130" t="s">
        <v>37</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n" cm="1">
        <f t="array" ref="A885">IFERROR(INDEX('03.Muestra'!$B$8:$B$42,SMALL(IF("Página Web"='03.Muestra'!$D$8:$D$42,ROW('03.Muestra'!$B$8:$B$42)-MIN(ROW('03.Muestra'!$D$8:$D$42))+1,""),ROW()-854)),"")</f>
        <v>1.0</v>
      </c>
      <c r="B885" s="114" t="str" cm="1">
        <f t="array" ref="B885">IFERROR(INDEX('03.Muestra'!$C$8:$C$42,SMALL(IF("Página Web"='03.Muestra'!$D$8:$D$42,ROW('03.Muestra'!$C$8:$C$42)-MIN(ROW('03.Muestra'!$D$8:$D$42))+1,""),ROW()-854)),"")</f>
        <v>Home - PortCastelló</v>
      </c>
      <c r="C885" s="114" t="str" cm="1">
        <f t="array" ref="C885">IFERROR(INDEX('03.Muestra'!$F$8:$F$42,SMALL(IF("Página Web"='03.Muestra'!$D$8:$D$42,ROW('03.Muestra'!$F$8:$F$42)-MIN(ROW('03.Muestra'!$D$8:$D$42))+1,""),ROW()-854)),"")</f>
        <v>https://www.portcastello.com/</v>
      </c>
      <c r="D885" s="130" t="s">
        <v>37</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n" cm="1">
        <f t="array" ref="A886">IFERROR(INDEX('03.Muestra'!$B$8:$B$42,SMALL(IF("Página Web"='03.Muestra'!$D$8:$D$42,ROW('03.Muestra'!$B$8:$B$42)-MIN(ROW('03.Muestra'!$D$8:$D$42))+1,""),ROW()-854)),"")</f>
        <v>1.0</v>
      </c>
      <c r="B886" s="114" t="str" cm="1">
        <f t="array" ref="B886">IFERROR(INDEX('03.Muestra'!$C$8:$C$42,SMALL(IF("Página Web"='03.Muestra'!$D$8:$D$42,ROW('03.Muestra'!$C$8:$C$42)-MIN(ROW('03.Muestra'!$D$8:$D$42))+1,""),ROW()-854)),"")</f>
        <v>Home - PortCastelló</v>
      </c>
      <c r="C886" s="114" t="str" cm="1">
        <f t="array" ref="C886">IFERROR(INDEX('03.Muestra'!$F$8:$F$42,SMALL(IF("Página Web"='03.Muestra'!$D$8:$D$42,ROW('03.Muestra'!$F$8:$F$42)-MIN(ROW('03.Muestra'!$D$8:$D$42))+1,""),ROW()-854)),"")</f>
        <v>https://www.portcastello.com/</v>
      </c>
      <c r="D886" s="130" t="s">
        <v>37</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n" cm="1">
        <f t="array" ref="A887">IFERROR(INDEX('03.Muestra'!$B$8:$B$42,SMALL(IF("Página Web"='03.Muestra'!$D$8:$D$42,ROW('03.Muestra'!$B$8:$B$42)-MIN(ROW('03.Muestra'!$D$8:$D$42))+1,""),ROW()-854)),"")</f>
        <v>1.0</v>
      </c>
      <c r="B887" s="114" t="str" cm="1">
        <f t="array" ref="B887">IFERROR(INDEX('03.Muestra'!$C$8:$C$42,SMALL(IF("Página Web"='03.Muestra'!$D$8:$D$42,ROW('03.Muestra'!$C$8:$C$42)-MIN(ROW('03.Muestra'!$D$8:$D$42))+1,""),ROW()-854)),"")</f>
        <v>Home - PortCastelló</v>
      </c>
      <c r="C887" s="114" t="str" cm="1">
        <f t="array" ref="C887">IFERROR(INDEX('03.Muestra'!$F$8:$F$42,SMALL(IF("Página Web"='03.Muestra'!$D$8:$D$42,ROW('03.Muestra'!$F$8:$F$42)-MIN(ROW('03.Muestra'!$D$8:$D$42))+1,""),ROW()-854)),"")</f>
        <v>https://www.portcastello.com/</v>
      </c>
      <c r="D887" s="130" t="s">
        <v>37</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str" cm="1">
        <f t="array" ref="A888">IFERROR(INDEX('03.Muestra'!$B$8:$B$42,SMALL(IF("Página Web"='03.Muestra'!$D$8:$D$42,ROW('03.Muestra'!$B$8:$B$42)-MIN(ROW('03.Muestra'!$D$8:$D$42))+1,""),ROW()-854)),"")</f>
        <v/>
      </c>
      <c r="B888" s="114" t="str" cm="1">
        <f t="array" ref="B888">IFERROR(INDEX('03.Muestra'!$C$8:$C$42,SMALL(IF("Página Web"='03.Muestra'!$D$8:$D$42,ROW('03.Muestra'!$C$8:$C$42)-MIN(ROW('03.Muestra'!$D$8:$D$42))+1,""),ROW()-854)),"")</f>
        <v/>
      </c>
      <c r="C888" s="114" t="str" cm="1">
        <f t="array" ref="C888">IFERROR(INDEX('03.Muestra'!$F$8:$F$42,SMALL(IF("Página Web"='03.Muestra'!$D$8:$D$42,ROW('03.Muestra'!$F$8:$F$42)-MIN(ROW('03.Muestra'!$D$8:$D$42))+1,""),ROW()-854)),"")</f>
        <v/>
      </c>
      <c r="D888" s="130" t="str">
        <f t="shared" si="45" ref="D888:D889">IF(AND(B888&lt;&gt;"",C888&lt;&gt;""),"N/T","")</f>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268</v>
      </c>
      <c r="B892" s="24" t="s">
        <v>90</v>
      </c>
      <c r="C892" s="25" t="s">
        <v>396</v>
      </c>
      <c r="D892" s="26" t="s">
        <v>32</v>
      </c>
      <c r="E892" s="123"/>
      <c r="K892" s="233"/>
      <c r="L892" s="19"/>
      <c r="M892" s="19"/>
      <c r="N892" s="19"/>
      <c r="O892" s="19"/>
      <c r="P892" s="19"/>
      <c r="Q892" s="19"/>
      <c r="R892" s="19"/>
      <c r="S892" s="19"/>
      <c r="T892" s="19"/>
      <c r="U892" s="19"/>
      <c r="V892" s="19"/>
      <c r="W892" s="19"/>
      <c r="X892" s="19"/>
      <c r="Y892" s="19"/>
    </row>
    <row r="893" spans="1:25" ht="12" customHeight="1">
      <c r="A893" s="219" t="n" cm="1">
        <f t="array" ref="A893">IFERROR(INDEX('03.Muestra'!$B$8:$B$42,SMALL(IF("Página Web"='03.Muestra'!$D$8:$D$42,ROW('03.Muestra'!$B$8:$B$42)-MIN(ROW('03.Muestra'!$D$8:$D$42))+1,""),ROW()-892)),"")</f>
        <v>1.0</v>
      </c>
      <c r="B893" s="114" t="str" cm="1">
        <f t="array" ref="B893">IFERROR(INDEX('03.Muestra'!$C$8:$C$42,SMALL(IF("Página Web"='03.Muestra'!$D$8:$D$42,ROW('03.Muestra'!$C$8:$C$42)-MIN(ROW('03.Muestra'!$D$8:$D$42))+1,""),ROW()-892)),"")</f>
        <v>Home - PortCastelló</v>
      </c>
      <c r="C893" s="114" t="str" cm="1">
        <f t="array" ref="C893">IFERROR(INDEX('03.Muestra'!$F$8:$F$42,SMALL(IF("Página Web"='03.Muestra'!$D$8:$D$42,ROW('03.Muestra'!$F$8:$F$42)-MIN(ROW('03.Muestra'!$D$8:$D$42))+1,""),ROW()-892)),"")</f>
        <v>https://www.portcastello.com/</v>
      </c>
      <c r="D893" s="130" t="s">
        <v>37</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2" customHeight="1">
      <c r="A894" s="219" t="n" cm="1">
        <f t="array" ref="A894">IFERROR(INDEX('03.Muestra'!$B$8:$B$42,SMALL(IF("Página Web"='03.Muestra'!$D$8:$D$42,ROW('03.Muestra'!$B$8:$B$42)-MIN(ROW('03.Muestra'!$D$8:$D$42))+1,""),ROW()-892)),"")</f>
        <v>1.0</v>
      </c>
      <c r="B894" s="114" t="str" cm="1">
        <f t="array" ref="B894">IFERROR(INDEX('03.Muestra'!$C$8:$C$42,SMALL(IF("Página Web"='03.Muestra'!$D$8:$D$42,ROW('03.Muestra'!$C$8:$C$42)-MIN(ROW('03.Muestra'!$D$8:$D$42))+1,""),ROW()-892)),"")</f>
        <v>Home - PortCastelló</v>
      </c>
      <c r="C894" s="114" t="str" cm="1">
        <f t="array" ref="C894">IFERROR(INDEX('03.Muestra'!$F$8:$F$42,SMALL(IF("Página Web"='03.Muestra'!$D$8:$D$42,ROW('03.Muestra'!$F$8:$F$42)-MIN(ROW('03.Muestra'!$D$8:$D$42))+1,""),ROW()-892)),"")</f>
        <v>https://www.portcastello.com/</v>
      </c>
      <c r="D894" s="130" t="s">
        <v>37</v>
      </c>
      <c r="E894" s="107" t="str">
        <f t="shared" si="46"/>
        <v/>
      </c>
      <c r="F894" s="120" t="n">
        <f ca="1">COUNTIF($D893:INDIRECT("$D" &amp;  SUM(ROW()-1,'03.Muestra'!$D$45)-1),F893)</f>
        <v>0.0</v>
      </c>
      <c r="G894" s="120" t="n">
        <f ca="1">COUNTIF($D893:INDIRECT("$D" &amp;  SUM(ROW()-1,'03.Muestra'!$D$45)-1),G893)</f>
        <v>33.0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IF(COUNTIF('03.Muestra'!$D$8:$D$42,"Página Web")=0,0,COUNTBLANK($D893:INDIRECT("$D" &amp;  SUM(ROW()-1,COUNTIF('03.Muestra'!$D$8:$D$42,"Página Web"))-1)))</f>
        <v>0.0</v>
      </c>
      <c r="L894" s="19"/>
      <c r="M894" s="19"/>
      <c r="N894" s="19"/>
      <c r="O894" s="19"/>
      <c r="P894" s="19"/>
      <c r="Q894" s="19"/>
      <c r="R894" s="19"/>
      <c r="S894" s="19"/>
      <c r="T894" s="19"/>
      <c r="U894" s="19"/>
      <c r="V894" s="19"/>
      <c r="W894" s="19"/>
      <c r="X894" s="19"/>
      <c r="Y894" s="19"/>
    </row>
    <row r="895" spans="1:25" ht="12" customHeight="1">
      <c r="A895" s="219" t="n" cm="1">
        <f t="array" ref="A895">IFERROR(INDEX('03.Muestra'!$B$8:$B$42,SMALL(IF("Página Web"='03.Muestra'!$D$8:$D$42,ROW('03.Muestra'!$B$8:$B$42)-MIN(ROW('03.Muestra'!$D$8:$D$42))+1,""),ROW()-892)),"")</f>
        <v>1.0</v>
      </c>
      <c r="B895" s="114" t="str" cm="1">
        <f t="array" ref="B895">IFERROR(INDEX('03.Muestra'!$C$8:$C$42,SMALL(IF("Página Web"='03.Muestra'!$D$8:$D$42,ROW('03.Muestra'!$C$8:$C$42)-MIN(ROW('03.Muestra'!$D$8:$D$42))+1,""),ROW()-892)),"")</f>
        <v>Home - PortCastelló</v>
      </c>
      <c r="C895" s="114" t="str" cm="1">
        <f t="array" ref="C895">IFERROR(INDEX('03.Muestra'!$F$8:$F$42,SMALL(IF("Página Web"='03.Muestra'!$D$8:$D$42,ROW('03.Muestra'!$F$8:$F$42)-MIN(ROW('03.Muestra'!$D$8:$D$42))+1,""),ROW()-892)),"")</f>
        <v>https://www.portcastello.com/</v>
      </c>
      <c r="D895" s="130" t="s">
        <v>37</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t="n" cm="1">
        <f t="array" ref="A896">IFERROR(INDEX('03.Muestra'!$B$8:$B$42,SMALL(IF("Página Web"='03.Muestra'!$D$8:$D$42,ROW('03.Muestra'!$B$8:$B$42)-MIN(ROW('03.Muestra'!$D$8:$D$42))+1,""),ROW()-892)),"")</f>
        <v>1.0</v>
      </c>
      <c r="B896" s="114" t="str" cm="1">
        <f t="array" ref="B896">IFERROR(INDEX('03.Muestra'!$C$8:$C$42,SMALL(IF("Página Web"='03.Muestra'!$D$8:$D$42,ROW('03.Muestra'!$C$8:$C$42)-MIN(ROW('03.Muestra'!$D$8:$D$42))+1,""),ROW()-892)),"")</f>
        <v>Home - PortCastelló</v>
      </c>
      <c r="C896" s="114" t="str" cm="1">
        <f t="array" ref="C896">IFERROR(INDEX('03.Muestra'!$F$8:$F$42,SMALL(IF("Página Web"='03.Muestra'!$D$8:$D$42,ROW('03.Muestra'!$F$8:$F$42)-MIN(ROW('03.Muestra'!$D$8:$D$42))+1,""),ROW()-892)),"")</f>
        <v>https://www.portcastello.com/</v>
      </c>
      <c r="D896" s="130" t="s">
        <v>37</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t="n" cm="1">
        <f t="array" ref="A897">IFERROR(INDEX('03.Muestra'!$B$8:$B$42,SMALL(IF("Página Web"='03.Muestra'!$D$8:$D$42,ROW('03.Muestra'!$B$8:$B$42)-MIN(ROW('03.Muestra'!$D$8:$D$42))+1,""),ROW()-892)),"")</f>
        <v>1.0</v>
      </c>
      <c r="B897" s="114" t="str" cm="1">
        <f t="array" ref="B897">IFERROR(INDEX('03.Muestra'!$C$8:$C$42,SMALL(IF("Página Web"='03.Muestra'!$D$8:$D$42,ROW('03.Muestra'!$C$8:$C$42)-MIN(ROW('03.Muestra'!$D$8:$D$42))+1,""),ROW()-892)),"")</f>
        <v>Home - PortCastelló</v>
      </c>
      <c r="C897" s="114" t="str" cm="1">
        <f t="array" ref="C897">IFERROR(INDEX('03.Muestra'!$F$8:$F$42,SMALL(IF("Página Web"='03.Muestra'!$D$8:$D$42,ROW('03.Muestra'!$F$8:$F$42)-MIN(ROW('03.Muestra'!$D$8:$D$42))+1,""),ROW()-892)),"")</f>
        <v>https://www.portcastello.com/</v>
      </c>
      <c r="D897" s="130" t="s">
        <v>37</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t="n" cm="1">
        <f t="array" ref="A898">IFERROR(INDEX('03.Muestra'!$B$8:$B$42,SMALL(IF("Página Web"='03.Muestra'!$D$8:$D$42,ROW('03.Muestra'!$B$8:$B$42)-MIN(ROW('03.Muestra'!$D$8:$D$42))+1,""),ROW()-892)),"")</f>
        <v>1.0</v>
      </c>
      <c r="B898" s="114" t="str" cm="1">
        <f t="array" ref="B898">IFERROR(INDEX('03.Muestra'!$C$8:$C$42,SMALL(IF("Página Web"='03.Muestra'!$D$8:$D$42,ROW('03.Muestra'!$C$8:$C$42)-MIN(ROW('03.Muestra'!$D$8:$D$42))+1,""),ROW()-892)),"")</f>
        <v>Home - PortCastelló</v>
      </c>
      <c r="C898" s="114" t="str" cm="1">
        <f t="array" ref="C898">IFERROR(INDEX('03.Muestra'!$F$8:$F$42,SMALL(IF("Página Web"='03.Muestra'!$D$8:$D$42,ROW('03.Muestra'!$F$8:$F$42)-MIN(ROW('03.Muestra'!$D$8:$D$42))+1,""),ROW()-892)),"")</f>
        <v>https://www.portcastello.com/</v>
      </c>
      <c r="D898" s="130" t="s">
        <v>37</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t="n" cm="1">
        <f t="array" ref="A899">IFERROR(INDEX('03.Muestra'!$B$8:$B$42,SMALL(IF("Página Web"='03.Muestra'!$D$8:$D$42,ROW('03.Muestra'!$B$8:$B$42)-MIN(ROW('03.Muestra'!$D$8:$D$42))+1,""),ROW()-892)),"")</f>
        <v>1.0</v>
      </c>
      <c r="B899" s="114" t="str" cm="1">
        <f t="array" ref="B899">IFERROR(INDEX('03.Muestra'!$C$8:$C$42,SMALL(IF("Página Web"='03.Muestra'!$D$8:$D$42,ROW('03.Muestra'!$C$8:$C$42)-MIN(ROW('03.Muestra'!$D$8:$D$42))+1,""),ROW()-892)),"")</f>
        <v>Home - PortCastelló</v>
      </c>
      <c r="C899" s="114" t="str" cm="1">
        <f t="array" ref="C899">IFERROR(INDEX('03.Muestra'!$F$8:$F$42,SMALL(IF("Página Web"='03.Muestra'!$D$8:$D$42,ROW('03.Muestra'!$F$8:$F$42)-MIN(ROW('03.Muestra'!$D$8:$D$42))+1,""),ROW()-892)),"")</f>
        <v>https://www.portcastello.com/</v>
      </c>
      <c r="D899" s="130" t="s">
        <v>37</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t="n" cm="1">
        <f t="array" ref="A900">IFERROR(INDEX('03.Muestra'!$B$8:$B$42,SMALL(IF("Página Web"='03.Muestra'!$D$8:$D$42,ROW('03.Muestra'!$B$8:$B$42)-MIN(ROW('03.Muestra'!$D$8:$D$42))+1,""),ROW()-892)),"")</f>
        <v>1.0</v>
      </c>
      <c r="B900" s="114" t="str" cm="1">
        <f t="array" ref="B900">IFERROR(INDEX('03.Muestra'!$C$8:$C$42,SMALL(IF("Página Web"='03.Muestra'!$D$8:$D$42,ROW('03.Muestra'!$C$8:$C$42)-MIN(ROW('03.Muestra'!$D$8:$D$42))+1,""),ROW()-892)),"")</f>
        <v>Home - PortCastelló</v>
      </c>
      <c r="C900" s="114" t="str" cm="1">
        <f t="array" ref="C900">IFERROR(INDEX('03.Muestra'!$F$8:$F$42,SMALL(IF("Página Web"='03.Muestra'!$D$8:$D$42,ROW('03.Muestra'!$F$8:$F$42)-MIN(ROW('03.Muestra'!$D$8:$D$42))+1,""),ROW()-892)),"")</f>
        <v>https://www.portcastello.com/</v>
      </c>
      <c r="D900" s="130" t="s">
        <v>37</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n" cm="1">
        <f t="array" ref="A901">IFERROR(INDEX('03.Muestra'!$B$8:$B$42,SMALL(IF("Página Web"='03.Muestra'!$D$8:$D$42,ROW('03.Muestra'!$B$8:$B$42)-MIN(ROW('03.Muestra'!$D$8:$D$42))+1,""),ROW()-892)),"")</f>
        <v>1.0</v>
      </c>
      <c r="B901" s="114" t="str" cm="1">
        <f t="array" ref="B901">IFERROR(INDEX('03.Muestra'!$C$8:$C$42,SMALL(IF("Página Web"='03.Muestra'!$D$8:$D$42,ROW('03.Muestra'!$C$8:$C$42)-MIN(ROW('03.Muestra'!$D$8:$D$42))+1,""),ROW()-892)),"")</f>
        <v>Home - PortCastelló</v>
      </c>
      <c r="C901" s="114" t="str" cm="1">
        <f t="array" ref="C901">IFERROR(INDEX('03.Muestra'!$F$8:$F$42,SMALL(IF("Página Web"='03.Muestra'!$D$8:$D$42,ROW('03.Muestra'!$F$8:$F$42)-MIN(ROW('03.Muestra'!$D$8:$D$42))+1,""),ROW()-892)),"")</f>
        <v>https://www.portcastello.com/</v>
      </c>
      <c r="D901" s="130" t="s">
        <v>37</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n" cm="1">
        <f t="array" ref="A902">IFERROR(INDEX('03.Muestra'!$B$8:$B$42,SMALL(IF("Página Web"='03.Muestra'!$D$8:$D$42,ROW('03.Muestra'!$B$8:$B$42)-MIN(ROW('03.Muestra'!$D$8:$D$42))+1,""),ROW()-892)),"")</f>
        <v>1.0</v>
      </c>
      <c r="B902" s="114" t="str" cm="1">
        <f t="array" ref="B902">IFERROR(INDEX('03.Muestra'!$C$8:$C$42,SMALL(IF("Página Web"='03.Muestra'!$D$8:$D$42,ROW('03.Muestra'!$C$8:$C$42)-MIN(ROW('03.Muestra'!$D$8:$D$42))+1,""),ROW()-892)),"")</f>
        <v>Home - PortCastelló</v>
      </c>
      <c r="C902" s="114" t="str" cm="1">
        <f t="array" ref="C902">IFERROR(INDEX('03.Muestra'!$F$8:$F$42,SMALL(IF("Página Web"='03.Muestra'!$D$8:$D$42,ROW('03.Muestra'!$F$8:$F$42)-MIN(ROW('03.Muestra'!$D$8:$D$42))+1,""),ROW()-892)),"")</f>
        <v>https://www.portcastello.com/</v>
      </c>
      <c r="D902" s="130" t="s">
        <v>37</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n" cm="1">
        <f t="array" ref="A903">IFERROR(INDEX('03.Muestra'!$B$8:$B$42,SMALL(IF("Página Web"='03.Muestra'!$D$8:$D$42,ROW('03.Muestra'!$B$8:$B$42)-MIN(ROW('03.Muestra'!$D$8:$D$42))+1,""),ROW()-892)),"")</f>
        <v>1.0</v>
      </c>
      <c r="B903" s="114" t="str" cm="1">
        <f t="array" ref="B903">IFERROR(INDEX('03.Muestra'!$C$8:$C$42,SMALL(IF("Página Web"='03.Muestra'!$D$8:$D$42,ROW('03.Muestra'!$C$8:$C$42)-MIN(ROW('03.Muestra'!$D$8:$D$42))+1,""),ROW()-892)),"")</f>
        <v>Home - PortCastelló</v>
      </c>
      <c r="C903" s="114" t="str" cm="1">
        <f t="array" ref="C903">IFERROR(INDEX('03.Muestra'!$F$8:$F$42,SMALL(IF("Página Web"='03.Muestra'!$D$8:$D$42,ROW('03.Muestra'!$F$8:$F$42)-MIN(ROW('03.Muestra'!$D$8:$D$42))+1,""),ROW()-892)),"")</f>
        <v>https://www.portcastello.com/</v>
      </c>
      <c r="D903" s="130" t="s">
        <v>37</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n" cm="1">
        <f t="array" ref="A904">IFERROR(INDEX('03.Muestra'!$B$8:$B$42,SMALL(IF("Página Web"='03.Muestra'!$D$8:$D$42,ROW('03.Muestra'!$B$8:$B$42)-MIN(ROW('03.Muestra'!$D$8:$D$42))+1,""),ROW()-892)),"")</f>
        <v>1.0</v>
      </c>
      <c r="B904" s="114" t="str" cm="1">
        <f t="array" ref="B904">IFERROR(INDEX('03.Muestra'!$C$8:$C$42,SMALL(IF("Página Web"='03.Muestra'!$D$8:$D$42,ROW('03.Muestra'!$C$8:$C$42)-MIN(ROW('03.Muestra'!$D$8:$D$42))+1,""),ROW()-892)),"")</f>
        <v>Home - PortCastelló</v>
      </c>
      <c r="C904" s="114" t="str" cm="1">
        <f t="array" ref="C904">IFERROR(INDEX('03.Muestra'!$F$8:$F$42,SMALL(IF("Página Web"='03.Muestra'!$D$8:$D$42,ROW('03.Muestra'!$F$8:$F$42)-MIN(ROW('03.Muestra'!$D$8:$D$42))+1,""),ROW()-892)),"")</f>
        <v>https://www.portcastello.com/</v>
      </c>
      <c r="D904" s="130" t="s">
        <v>37</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n" cm="1">
        <f t="array" ref="A905">IFERROR(INDEX('03.Muestra'!$B$8:$B$42,SMALL(IF("Página Web"='03.Muestra'!$D$8:$D$42,ROW('03.Muestra'!$B$8:$B$42)-MIN(ROW('03.Muestra'!$D$8:$D$42))+1,""),ROW()-892)),"")</f>
        <v>1.0</v>
      </c>
      <c r="B905" s="114" t="str" cm="1">
        <f t="array" ref="B905">IFERROR(INDEX('03.Muestra'!$C$8:$C$42,SMALL(IF("Página Web"='03.Muestra'!$D$8:$D$42,ROW('03.Muestra'!$C$8:$C$42)-MIN(ROW('03.Muestra'!$D$8:$D$42))+1,""),ROW()-892)),"")</f>
        <v>Home - PortCastelló</v>
      </c>
      <c r="C905" s="114" t="str" cm="1">
        <f t="array" ref="C905">IFERROR(INDEX('03.Muestra'!$F$8:$F$42,SMALL(IF("Página Web"='03.Muestra'!$D$8:$D$42,ROW('03.Muestra'!$F$8:$F$42)-MIN(ROW('03.Muestra'!$D$8:$D$42))+1,""),ROW()-892)),"")</f>
        <v>https://www.portcastello.com/</v>
      </c>
      <c r="D905" s="130" t="s">
        <v>37</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n" cm="1">
        <f t="array" ref="A906">IFERROR(INDEX('03.Muestra'!$B$8:$B$42,SMALL(IF("Página Web"='03.Muestra'!$D$8:$D$42,ROW('03.Muestra'!$B$8:$B$42)-MIN(ROW('03.Muestra'!$D$8:$D$42))+1,""),ROW()-892)),"")</f>
        <v>1.0</v>
      </c>
      <c r="B906" s="114" t="str" cm="1">
        <f t="array" ref="B906">IFERROR(INDEX('03.Muestra'!$C$8:$C$42,SMALL(IF("Página Web"='03.Muestra'!$D$8:$D$42,ROW('03.Muestra'!$C$8:$C$42)-MIN(ROW('03.Muestra'!$D$8:$D$42))+1,""),ROW()-892)),"")</f>
        <v>Home - PortCastelló</v>
      </c>
      <c r="C906" s="114" t="str" cm="1">
        <f t="array" ref="C906">IFERROR(INDEX('03.Muestra'!$F$8:$F$42,SMALL(IF("Página Web"='03.Muestra'!$D$8:$D$42,ROW('03.Muestra'!$F$8:$F$42)-MIN(ROW('03.Muestra'!$D$8:$D$42))+1,""),ROW()-892)),"")</f>
        <v>https://www.portcastello.com/</v>
      </c>
      <c r="D906" s="130" t="s">
        <v>37</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n" cm="1">
        <f t="array" ref="A907">IFERROR(INDEX('03.Muestra'!$B$8:$B$42,SMALL(IF("Página Web"='03.Muestra'!$D$8:$D$42,ROW('03.Muestra'!$B$8:$B$42)-MIN(ROW('03.Muestra'!$D$8:$D$42))+1,""),ROW()-892)),"")</f>
        <v>1.0</v>
      </c>
      <c r="B907" s="114" t="str" cm="1">
        <f t="array" ref="B907">IFERROR(INDEX('03.Muestra'!$C$8:$C$42,SMALL(IF("Página Web"='03.Muestra'!$D$8:$D$42,ROW('03.Muestra'!$C$8:$C$42)-MIN(ROW('03.Muestra'!$D$8:$D$42))+1,""),ROW()-892)),"")</f>
        <v>Home - PortCastelló</v>
      </c>
      <c r="C907" s="114" t="str" cm="1">
        <f t="array" ref="C907">IFERROR(INDEX('03.Muestra'!$F$8:$F$42,SMALL(IF("Página Web"='03.Muestra'!$D$8:$D$42,ROW('03.Muestra'!$F$8:$F$42)-MIN(ROW('03.Muestra'!$D$8:$D$42))+1,""),ROW()-892)),"")</f>
        <v>https://www.portcastello.com/</v>
      </c>
      <c r="D907" s="130" t="s">
        <v>37</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n" cm="1">
        <f t="array" ref="A908">IFERROR(INDEX('03.Muestra'!$B$8:$B$42,SMALL(IF("Página Web"='03.Muestra'!$D$8:$D$42,ROW('03.Muestra'!$B$8:$B$42)-MIN(ROW('03.Muestra'!$D$8:$D$42))+1,""),ROW()-892)),"")</f>
        <v>1.0</v>
      </c>
      <c r="B908" s="114" t="str" cm="1">
        <f t="array" ref="B908">IFERROR(INDEX('03.Muestra'!$C$8:$C$42,SMALL(IF("Página Web"='03.Muestra'!$D$8:$D$42,ROW('03.Muestra'!$C$8:$C$42)-MIN(ROW('03.Muestra'!$D$8:$D$42))+1,""),ROW()-892)),"")</f>
        <v>Home - PortCastelló</v>
      </c>
      <c r="C908" s="114" t="str" cm="1">
        <f t="array" ref="C908">IFERROR(INDEX('03.Muestra'!$F$8:$F$42,SMALL(IF("Página Web"='03.Muestra'!$D$8:$D$42,ROW('03.Muestra'!$F$8:$F$42)-MIN(ROW('03.Muestra'!$D$8:$D$42))+1,""),ROW()-892)),"")</f>
        <v>https://www.portcastello.com/</v>
      </c>
      <c r="D908" s="130" t="s">
        <v>37</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n" cm="1">
        <f t="array" ref="A909">IFERROR(INDEX('03.Muestra'!$B$8:$B$42,SMALL(IF("Página Web"='03.Muestra'!$D$8:$D$42,ROW('03.Muestra'!$B$8:$B$42)-MIN(ROW('03.Muestra'!$D$8:$D$42))+1,""),ROW()-892)),"")</f>
        <v>1.0</v>
      </c>
      <c r="B909" s="114" t="str" cm="1">
        <f t="array" ref="B909">IFERROR(INDEX('03.Muestra'!$C$8:$C$42,SMALL(IF("Página Web"='03.Muestra'!$D$8:$D$42,ROW('03.Muestra'!$C$8:$C$42)-MIN(ROW('03.Muestra'!$D$8:$D$42))+1,""),ROW()-892)),"")</f>
        <v>Home - PortCastelló</v>
      </c>
      <c r="C909" s="114" t="str" cm="1">
        <f t="array" ref="C909">IFERROR(INDEX('03.Muestra'!$F$8:$F$42,SMALL(IF("Página Web"='03.Muestra'!$D$8:$D$42,ROW('03.Muestra'!$F$8:$F$42)-MIN(ROW('03.Muestra'!$D$8:$D$42))+1,""),ROW()-892)),"")</f>
        <v>https://www.portcastello.com/</v>
      </c>
      <c r="D909" s="130" t="s">
        <v>37</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n" cm="1">
        <f t="array" ref="A910">IFERROR(INDEX('03.Muestra'!$B$8:$B$42,SMALL(IF("Página Web"='03.Muestra'!$D$8:$D$42,ROW('03.Muestra'!$B$8:$B$42)-MIN(ROW('03.Muestra'!$D$8:$D$42))+1,""),ROW()-892)),"")</f>
        <v>1.0</v>
      </c>
      <c r="B910" s="114" t="str" cm="1">
        <f t="array" ref="B910">IFERROR(INDEX('03.Muestra'!$C$8:$C$42,SMALL(IF("Página Web"='03.Muestra'!$D$8:$D$42,ROW('03.Muestra'!$C$8:$C$42)-MIN(ROW('03.Muestra'!$D$8:$D$42))+1,""),ROW()-892)),"")</f>
        <v>Home - PortCastelló</v>
      </c>
      <c r="C910" s="114" t="str" cm="1">
        <f t="array" ref="C910">IFERROR(INDEX('03.Muestra'!$F$8:$F$42,SMALL(IF("Página Web"='03.Muestra'!$D$8:$D$42,ROW('03.Muestra'!$F$8:$F$42)-MIN(ROW('03.Muestra'!$D$8:$D$42))+1,""),ROW()-892)),"")</f>
        <v>https://www.portcastello.com/</v>
      </c>
      <c r="D910" s="130" t="s">
        <v>37</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n" cm="1">
        <f t="array" ref="A911">IFERROR(INDEX('03.Muestra'!$B$8:$B$42,SMALL(IF("Página Web"='03.Muestra'!$D$8:$D$42,ROW('03.Muestra'!$B$8:$B$42)-MIN(ROW('03.Muestra'!$D$8:$D$42))+1,""),ROW()-892)),"")</f>
        <v>1.0</v>
      </c>
      <c r="B911" s="114" t="str" cm="1">
        <f t="array" ref="B911">IFERROR(INDEX('03.Muestra'!$C$8:$C$42,SMALL(IF("Página Web"='03.Muestra'!$D$8:$D$42,ROW('03.Muestra'!$C$8:$C$42)-MIN(ROW('03.Muestra'!$D$8:$D$42))+1,""),ROW()-892)),"")</f>
        <v>Home - PortCastelló</v>
      </c>
      <c r="C911" s="114" t="str" cm="1">
        <f t="array" ref="C911">IFERROR(INDEX('03.Muestra'!$F$8:$F$42,SMALL(IF("Página Web"='03.Muestra'!$D$8:$D$42,ROW('03.Muestra'!$F$8:$F$42)-MIN(ROW('03.Muestra'!$D$8:$D$42))+1,""),ROW()-892)),"")</f>
        <v>https://www.portcastello.com/</v>
      </c>
      <c r="D911" s="130" t="s">
        <v>37</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n" cm="1">
        <f t="array" ref="A912">IFERROR(INDEX('03.Muestra'!$B$8:$B$42,SMALL(IF("Página Web"='03.Muestra'!$D$8:$D$42,ROW('03.Muestra'!$B$8:$B$42)-MIN(ROW('03.Muestra'!$D$8:$D$42))+1,""),ROW()-892)),"")</f>
        <v>1.0</v>
      </c>
      <c r="B912" s="114" t="str" cm="1">
        <f t="array" ref="B912">IFERROR(INDEX('03.Muestra'!$C$8:$C$42,SMALL(IF("Página Web"='03.Muestra'!$D$8:$D$42,ROW('03.Muestra'!$C$8:$C$42)-MIN(ROW('03.Muestra'!$D$8:$D$42))+1,""),ROW()-892)),"")</f>
        <v>Home - PortCastelló</v>
      </c>
      <c r="C912" s="114" t="str" cm="1">
        <f t="array" ref="C912">IFERROR(INDEX('03.Muestra'!$F$8:$F$42,SMALL(IF("Página Web"='03.Muestra'!$D$8:$D$42,ROW('03.Muestra'!$F$8:$F$42)-MIN(ROW('03.Muestra'!$D$8:$D$42))+1,""),ROW()-892)),"")</f>
        <v>https://www.portcastello.com/</v>
      </c>
      <c r="D912" s="130" t="s">
        <v>37</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n" cm="1">
        <f t="array" ref="A913">IFERROR(INDEX('03.Muestra'!$B$8:$B$42,SMALL(IF("Página Web"='03.Muestra'!$D$8:$D$42,ROW('03.Muestra'!$B$8:$B$42)-MIN(ROW('03.Muestra'!$D$8:$D$42))+1,""),ROW()-892)),"")</f>
        <v>1.0</v>
      </c>
      <c r="B913" s="114" t="str" cm="1">
        <f t="array" ref="B913">IFERROR(INDEX('03.Muestra'!$C$8:$C$42,SMALL(IF("Página Web"='03.Muestra'!$D$8:$D$42,ROW('03.Muestra'!$C$8:$C$42)-MIN(ROW('03.Muestra'!$D$8:$D$42))+1,""),ROW()-892)),"")</f>
        <v>Home - PortCastelló</v>
      </c>
      <c r="C913" s="114" t="str" cm="1">
        <f t="array" ref="C913">IFERROR(INDEX('03.Muestra'!$F$8:$F$42,SMALL(IF("Página Web"='03.Muestra'!$D$8:$D$42,ROW('03.Muestra'!$F$8:$F$42)-MIN(ROW('03.Muestra'!$D$8:$D$42))+1,""),ROW()-892)),"")</f>
        <v>https://www.portcastello.com/</v>
      </c>
      <c r="D913" s="130" t="s">
        <v>37</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n" cm="1">
        <f t="array" ref="A914">IFERROR(INDEX('03.Muestra'!$B$8:$B$42,SMALL(IF("Página Web"='03.Muestra'!$D$8:$D$42,ROW('03.Muestra'!$B$8:$B$42)-MIN(ROW('03.Muestra'!$D$8:$D$42))+1,""),ROW()-892)),"")</f>
        <v>1.0</v>
      </c>
      <c r="B914" s="114" t="str" cm="1">
        <f t="array" ref="B914">IFERROR(INDEX('03.Muestra'!$C$8:$C$42,SMALL(IF("Página Web"='03.Muestra'!$D$8:$D$42,ROW('03.Muestra'!$C$8:$C$42)-MIN(ROW('03.Muestra'!$D$8:$D$42))+1,""),ROW()-892)),"")</f>
        <v>Home - PortCastelló</v>
      </c>
      <c r="C914" s="114" t="str" cm="1">
        <f t="array" ref="C914">IFERROR(INDEX('03.Muestra'!$F$8:$F$42,SMALL(IF("Página Web"='03.Muestra'!$D$8:$D$42,ROW('03.Muestra'!$F$8:$F$42)-MIN(ROW('03.Muestra'!$D$8:$D$42))+1,""),ROW()-892)),"")</f>
        <v>https://www.portcastello.com/</v>
      </c>
      <c r="D914" s="130" t="s">
        <v>37</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n" cm="1">
        <f t="array" ref="A915">IFERROR(INDEX('03.Muestra'!$B$8:$B$42,SMALL(IF("Página Web"='03.Muestra'!$D$8:$D$42,ROW('03.Muestra'!$B$8:$B$42)-MIN(ROW('03.Muestra'!$D$8:$D$42))+1,""),ROW()-892)),"")</f>
        <v>1.0</v>
      </c>
      <c r="B915" s="114" t="str" cm="1">
        <f t="array" ref="B915">IFERROR(INDEX('03.Muestra'!$C$8:$C$42,SMALL(IF("Página Web"='03.Muestra'!$D$8:$D$42,ROW('03.Muestra'!$C$8:$C$42)-MIN(ROW('03.Muestra'!$D$8:$D$42))+1,""),ROW()-892)),"")</f>
        <v>Home - PortCastelló</v>
      </c>
      <c r="C915" s="114" t="str" cm="1">
        <f t="array" ref="C915">IFERROR(INDEX('03.Muestra'!$F$8:$F$42,SMALL(IF("Página Web"='03.Muestra'!$D$8:$D$42,ROW('03.Muestra'!$F$8:$F$42)-MIN(ROW('03.Muestra'!$D$8:$D$42))+1,""),ROW()-892)),"")</f>
        <v>https://www.portcastello.com/</v>
      </c>
      <c r="D915" s="130" t="s">
        <v>37</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n" cm="1">
        <f t="array" ref="A916">IFERROR(INDEX('03.Muestra'!$B$8:$B$42,SMALL(IF("Página Web"='03.Muestra'!$D$8:$D$42,ROW('03.Muestra'!$B$8:$B$42)-MIN(ROW('03.Muestra'!$D$8:$D$42))+1,""),ROW()-892)),"")</f>
        <v>1.0</v>
      </c>
      <c r="B916" s="114" t="str" cm="1">
        <f t="array" ref="B916">IFERROR(INDEX('03.Muestra'!$C$8:$C$42,SMALL(IF("Página Web"='03.Muestra'!$D$8:$D$42,ROW('03.Muestra'!$C$8:$C$42)-MIN(ROW('03.Muestra'!$D$8:$D$42))+1,""),ROW()-892)),"")</f>
        <v>Home - PortCastelló</v>
      </c>
      <c r="C916" s="114" t="str" cm="1">
        <f t="array" ref="C916">IFERROR(INDEX('03.Muestra'!$F$8:$F$42,SMALL(IF("Página Web"='03.Muestra'!$D$8:$D$42,ROW('03.Muestra'!$F$8:$F$42)-MIN(ROW('03.Muestra'!$D$8:$D$42))+1,""),ROW()-892)),"")</f>
        <v>https://www.portcastello.com/</v>
      </c>
      <c r="D916" s="130" t="s">
        <v>37</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n" cm="1">
        <f t="array" ref="A917">IFERROR(INDEX('03.Muestra'!$B$8:$B$42,SMALL(IF("Página Web"='03.Muestra'!$D$8:$D$42,ROW('03.Muestra'!$B$8:$B$42)-MIN(ROW('03.Muestra'!$D$8:$D$42))+1,""),ROW()-892)),"")</f>
        <v>1.0</v>
      </c>
      <c r="B917" s="114" t="str" cm="1">
        <f t="array" ref="B917">IFERROR(INDEX('03.Muestra'!$C$8:$C$42,SMALL(IF("Página Web"='03.Muestra'!$D$8:$D$42,ROW('03.Muestra'!$C$8:$C$42)-MIN(ROW('03.Muestra'!$D$8:$D$42))+1,""),ROW()-892)),"")</f>
        <v>Home - PortCastelló</v>
      </c>
      <c r="C917" s="114" t="str" cm="1">
        <f t="array" ref="C917">IFERROR(INDEX('03.Muestra'!$F$8:$F$42,SMALL(IF("Página Web"='03.Muestra'!$D$8:$D$42,ROW('03.Muestra'!$F$8:$F$42)-MIN(ROW('03.Muestra'!$D$8:$D$42))+1,""),ROW()-892)),"")</f>
        <v>https://www.portcastello.com/</v>
      </c>
      <c r="D917" s="130" t="s">
        <v>37</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n" cm="1">
        <f t="array" ref="A918">IFERROR(INDEX('03.Muestra'!$B$8:$B$42,SMALL(IF("Página Web"='03.Muestra'!$D$8:$D$42,ROW('03.Muestra'!$B$8:$B$42)-MIN(ROW('03.Muestra'!$D$8:$D$42))+1,""),ROW()-892)),"")</f>
        <v>1.0</v>
      </c>
      <c r="B918" s="114" t="str" cm="1">
        <f t="array" ref="B918">IFERROR(INDEX('03.Muestra'!$C$8:$C$42,SMALL(IF("Página Web"='03.Muestra'!$D$8:$D$42,ROW('03.Muestra'!$C$8:$C$42)-MIN(ROW('03.Muestra'!$D$8:$D$42))+1,""),ROW()-892)),"")</f>
        <v>Home - PortCastelló</v>
      </c>
      <c r="C918" s="114" t="str" cm="1">
        <f t="array" ref="C918">IFERROR(INDEX('03.Muestra'!$F$8:$F$42,SMALL(IF("Página Web"='03.Muestra'!$D$8:$D$42,ROW('03.Muestra'!$F$8:$F$42)-MIN(ROW('03.Muestra'!$D$8:$D$42))+1,""),ROW()-892)),"")</f>
        <v>https://www.portcastello.com/</v>
      </c>
      <c r="D918" s="130" t="s">
        <v>37</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n" cm="1">
        <f t="array" ref="A919">IFERROR(INDEX('03.Muestra'!$B$8:$B$42,SMALL(IF("Página Web"='03.Muestra'!$D$8:$D$42,ROW('03.Muestra'!$B$8:$B$42)-MIN(ROW('03.Muestra'!$D$8:$D$42))+1,""),ROW()-892)),"")</f>
        <v>1.0</v>
      </c>
      <c r="B919" s="114" t="str" cm="1">
        <f t="array" ref="B919">IFERROR(INDEX('03.Muestra'!$C$8:$C$42,SMALL(IF("Página Web"='03.Muestra'!$D$8:$D$42,ROW('03.Muestra'!$C$8:$C$42)-MIN(ROW('03.Muestra'!$D$8:$D$42))+1,""),ROW()-892)),"")</f>
        <v>Home - PortCastelló</v>
      </c>
      <c r="C919" s="114" t="str" cm="1">
        <f t="array" ref="C919">IFERROR(INDEX('03.Muestra'!$F$8:$F$42,SMALL(IF("Página Web"='03.Muestra'!$D$8:$D$42,ROW('03.Muestra'!$F$8:$F$42)-MIN(ROW('03.Muestra'!$D$8:$D$42))+1,""),ROW()-892)),"")</f>
        <v>https://www.portcastello.com/</v>
      </c>
      <c r="D919" s="130" t="s">
        <v>37</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n" cm="1">
        <f t="array" ref="A920">IFERROR(INDEX('03.Muestra'!$B$8:$B$42,SMALL(IF("Página Web"='03.Muestra'!$D$8:$D$42,ROW('03.Muestra'!$B$8:$B$42)-MIN(ROW('03.Muestra'!$D$8:$D$42))+1,""),ROW()-892)),"")</f>
        <v>1.0</v>
      </c>
      <c r="B920" s="114" t="str" cm="1">
        <f t="array" ref="B920">IFERROR(INDEX('03.Muestra'!$C$8:$C$42,SMALL(IF("Página Web"='03.Muestra'!$D$8:$D$42,ROW('03.Muestra'!$C$8:$C$42)-MIN(ROW('03.Muestra'!$D$8:$D$42))+1,""),ROW()-892)),"")</f>
        <v>Home - PortCastelló</v>
      </c>
      <c r="C920" s="114" t="str" cm="1">
        <f t="array" ref="C920">IFERROR(INDEX('03.Muestra'!$F$8:$F$42,SMALL(IF("Página Web"='03.Muestra'!$D$8:$D$42,ROW('03.Muestra'!$F$8:$F$42)-MIN(ROW('03.Muestra'!$D$8:$D$42))+1,""),ROW()-892)),"")</f>
        <v>https://www.portcastello.com/</v>
      </c>
      <c r="D920" s="130" t="s">
        <v>37</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n" cm="1">
        <f t="array" ref="A921">IFERROR(INDEX('03.Muestra'!$B$8:$B$42,SMALL(IF("Página Web"='03.Muestra'!$D$8:$D$42,ROW('03.Muestra'!$B$8:$B$42)-MIN(ROW('03.Muestra'!$D$8:$D$42))+1,""),ROW()-892)),"")</f>
        <v>1.0</v>
      </c>
      <c r="B921" s="114" t="str" cm="1">
        <f t="array" ref="B921">IFERROR(INDEX('03.Muestra'!$C$8:$C$42,SMALL(IF("Página Web"='03.Muestra'!$D$8:$D$42,ROW('03.Muestra'!$C$8:$C$42)-MIN(ROW('03.Muestra'!$D$8:$D$42))+1,""),ROW()-892)),"")</f>
        <v>Home - PortCastelló</v>
      </c>
      <c r="C921" s="114" t="str" cm="1">
        <f t="array" ref="C921">IFERROR(INDEX('03.Muestra'!$F$8:$F$42,SMALL(IF("Página Web"='03.Muestra'!$D$8:$D$42,ROW('03.Muestra'!$F$8:$F$42)-MIN(ROW('03.Muestra'!$D$8:$D$42))+1,""),ROW()-892)),"")</f>
        <v>https://www.portcastello.com/</v>
      </c>
      <c r="D921" s="130" t="s">
        <v>37</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n" cm="1">
        <f t="array" ref="A922">IFERROR(INDEX('03.Muestra'!$B$8:$B$42,SMALL(IF("Página Web"='03.Muestra'!$D$8:$D$42,ROW('03.Muestra'!$B$8:$B$42)-MIN(ROW('03.Muestra'!$D$8:$D$42))+1,""),ROW()-892)),"")</f>
        <v>1.0</v>
      </c>
      <c r="B922" s="114" t="str" cm="1">
        <f t="array" ref="B922">IFERROR(INDEX('03.Muestra'!$C$8:$C$42,SMALL(IF("Página Web"='03.Muestra'!$D$8:$D$42,ROW('03.Muestra'!$C$8:$C$42)-MIN(ROW('03.Muestra'!$D$8:$D$42))+1,""),ROW()-892)),"")</f>
        <v>Home - PortCastelló</v>
      </c>
      <c r="C922" s="114" t="str" cm="1">
        <f t="array" ref="C922">IFERROR(INDEX('03.Muestra'!$F$8:$F$42,SMALL(IF("Página Web"='03.Muestra'!$D$8:$D$42,ROW('03.Muestra'!$F$8:$F$42)-MIN(ROW('03.Muestra'!$D$8:$D$42))+1,""),ROW()-892)),"")</f>
        <v>https://www.portcastello.com/</v>
      </c>
      <c r="D922" s="130" t="s">
        <v>37</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n" cm="1">
        <f t="array" ref="A923">IFERROR(INDEX('03.Muestra'!$B$8:$B$42,SMALL(IF("Página Web"='03.Muestra'!$D$8:$D$42,ROW('03.Muestra'!$B$8:$B$42)-MIN(ROW('03.Muestra'!$D$8:$D$42))+1,""),ROW()-892)),"")</f>
        <v>1.0</v>
      </c>
      <c r="B923" s="114" t="str" cm="1">
        <f t="array" ref="B923">IFERROR(INDEX('03.Muestra'!$C$8:$C$42,SMALL(IF("Página Web"='03.Muestra'!$D$8:$D$42,ROW('03.Muestra'!$C$8:$C$42)-MIN(ROW('03.Muestra'!$D$8:$D$42))+1,""),ROW()-892)),"")</f>
        <v>Home - PortCastelló</v>
      </c>
      <c r="C923" s="114" t="str" cm="1">
        <f t="array" ref="C923">IFERROR(INDEX('03.Muestra'!$F$8:$F$42,SMALL(IF("Página Web"='03.Muestra'!$D$8:$D$42,ROW('03.Muestra'!$F$8:$F$42)-MIN(ROW('03.Muestra'!$D$8:$D$42))+1,""),ROW()-892)),"")</f>
        <v>https://www.portcastello.com/</v>
      </c>
      <c r="D923" s="130" t="s">
        <v>37</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n" cm="1">
        <f t="array" ref="A924">IFERROR(INDEX('03.Muestra'!$B$8:$B$42,SMALL(IF("Página Web"='03.Muestra'!$D$8:$D$42,ROW('03.Muestra'!$B$8:$B$42)-MIN(ROW('03.Muestra'!$D$8:$D$42))+1,""),ROW()-892)),"")</f>
        <v>1.0</v>
      </c>
      <c r="B924" s="114" t="str" cm="1">
        <f t="array" ref="B924">IFERROR(INDEX('03.Muestra'!$C$8:$C$42,SMALL(IF("Página Web"='03.Muestra'!$D$8:$D$42,ROW('03.Muestra'!$C$8:$C$42)-MIN(ROW('03.Muestra'!$D$8:$D$42))+1,""),ROW()-892)),"")</f>
        <v>Home - PortCastelló</v>
      </c>
      <c r="C924" s="114" t="str" cm="1">
        <f t="array" ref="C924">IFERROR(INDEX('03.Muestra'!$F$8:$F$42,SMALL(IF("Página Web"='03.Muestra'!$D$8:$D$42,ROW('03.Muestra'!$F$8:$F$42)-MIN(ROW('03.Muestra'!$D$8:$D$42))+1,""),ROW()-892)),"")</f>
        <v>https://www.portcastello.com/</v>
      </c>
      <c r="D924" s="130" t="s">
        <v>37</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n" cm="1">
        <f t="array" ref="A925">IFERROR(INDEX('03.Muestra'!$B$8:$B$42,SMALL(IF("Página Web"='03.Muestra'!$D$8:$D$42,ROW('03.Muestra'!$B$8:$B$42)-MIN(ROW('03.Muestra'!$D$8:$D$42))+1,""),ROW()-892)),"")</f>
        <v>1.0</v>
      </c>
      <c r="B925" s="114" t="str" cm="1">
        <f t="array" ref="B925">IFERROR(INDEX('03.Muestra'!$C$8:$C$42,SMALL(IF("Página Web"='03.Muestra'!$D$8:$D$42,ROW('03.Muestra'!$C$8:$C$42)-MIN(ROW('03.Muestra'!$D$8:$D$42))+1,""),ROW()-892)),"")</f>
        <v>Home - PortCastelló</v>
      </c>
      <c r="C925" s="114" t="str" cm="1">
        <f t="array" ref="C925">IFERROR(INDEX('03.Muestra'!$F$8:$F$42,SMALL(IF("Página Web"='03.Muestra'!$D$8:$D$42,ROW('03.Muestra'!$F$8:$F$42)-MIN(ROW('03.Muestra'!$D$8:$D$42))+1,""),ROW()-892)),"")</f>
        <v>https://www.portcastello.com/</v>
      </c>
      <c r="D925" s="130" t="s">
        <v>37</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str" cm="1">
        <f t="array" ref="A926">IFERROR(INDEX('03.Muestra'!$B$8:$B$42,SMALL(IF("Página Web"='03.Muestra'!$D$8:$D$42,ROW('03.Muestra'!$B$8:$B$42)-MIN(ROW('03.Muestra'!$D$8:$D$42))+1,""),ROW()-892)),"")</f>
        <v/>
      </c>
      <c r="B926" s="114" t="str" cm="1">
        <f t="array" ref="B926">IFERROR(INDEX('03.Muestra'!$C$8:$C$42,SMALL(IF("Página Web"='03.Muestra'!$D$8:$D$42,ROW('03.Muestra'!$C$8:$C$42)-MIN(ROW('03.Muestra'!$D$8:$D$42))+1,""),ROW()-892)),"")</f>
        <v/>
      </c>
      <c r="C926" s="114" t="str" cm="1">
        <f t="array" ref="C926">IFERROR(INDEX('03.Muestra'!$F$8:$F$42,SMALL(IF("Página Web"='03.Muestra'!$D$8:$D$42,ROW('03.Muestra'!$F$8:$F$42)-MIN(ROW('03.Muestra'!$D$8:$D$42))+1,""),ROW()-892)),"")</f>
        <v/>
      </c>
      <c r="D926" s="130" t="str">
        <f t="shared" si="47" ref="D926:D927">IF(AND(B926&lt;&gt;"",C926&lt;&gt;""),"N/T","")</f>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268</v>
      </c>
      <c r="B930" s="24" t="s">
        <v>90</v>
      </c>
      <c r="C930" s="25" t="s">
        <v>397</v>
      </c>
      <c r="D930" s="26" t="s">
        <v>32</v>
      </c>
      <c r="E930" s="123"/>
      <c r="K930" s="233"/>
      <c r="L930" s="19"/>
      <c r="M930" s="19"/>
      <c r="N930" s="19"/>
      <c r="O930" s="19"/>
      <c r="P930" s="19"/>
      <c r="Q930" s="19"/>
      <c r="R930" s="19"/>
      <c r="S930" s="19"/>
      <c r="T930" s="19"/>
      <c r="U930" s="19"/>
      <c r="V930" s="19"/>
      <c r="W930" s="19"/>
      <c r="X930" s="19"/>
      <c r="Y930" s="19"/>
    </row>
    <row r="931" spans="1:25" ht="12" customHeight="1">
      <c r="A931" s="219" t="n" cm="1">
        <f t="array" ref="A931">IFERROR(INDEX('03.Muestra'!$B$8:$B$42,SMALL(IF("Página Web"='03.Muestra'!$D$8:$D$42,ROW('03.Muestra'!$B$8:$B$42)-MIN(ROW('03.Muestra'!$D$8:$D$42))+1,""),ROW()-930)),"")</f>
        <v>1.0</v>
      </c>
      <c r="B931" s="114" t="str" cm="1">
        <f t="array" ref="B931">IFERROR(INDEX('03.Muestra'!$C$8:$C$42,SMALL(IF("Página Web"='03.Muestra'!$D$8:$D$42,ROW('03.Muestra'!$C$8:$C$42)-MIN(ROW('03.Muestra'!$D$8:$D$42))+1,""),ROW()-930)),"")</f>
        <v>Home - PortCastelló</v>
      </c>
      <c r="C931" s="114" t="str" cm="1">
        <f t="array" ref="C931">IFERROR(INDEX('03.Muestra'!$F$8:$F$42,SMALL(IF("Página Web"='03.Muestra'!$D$8:$D$42,ROW('03.Muestra'!$F$8:$F$42)-MIN(ROW('03.Muestra'!$D$8:$D$42))+1,""),ROW()-930)),"")</f>
        <v>https://www.portcastello.com/</v>
      </c>
      <c r="D931" s="130" t="str">
        <f>IF(AND(B931&lt;&gt;"",C931&lt;&gt;""),"N/T","")</f>
        <v>N/T</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2" customHeight="1">
      <c r="A932" s="219" t="n" cm="1">
        <f t="array" ref="A932">IFERROR(INDEX('03.Muestra'!$B$8:$B$42,SMALL(IF("Página Web"='03.Muestra'!$D$8:$D$42,ROW('03.Muestra'!$B$8:$B$42)-MIN(ROW('03.Muestra'!$D$8:$D$42))+1,""),ROW()-930)),"")</f>
        <v>1.0</v>
      </c>
      <c r="B932" s="114" t="str" cm="1">
        <f t="array" ref="B932">IFERROR(INDEX('03.Muestra'!$C$8:$C$42,SMALL(IF("Página Web"='03.Muestra'!$D$8:$D$42,ROW('03.Muestra'!$C$8:$C$42)-MIN(ROW('03.Muestra'!$D$8:$D$42))+1,""),ROW()-930)),"")</f>
        <v>Home - PortCastelló</v>
      </c>
      <c r="C932" s="114" t="str" cm="1">
        <f t="array" ref="C932">IFERROR(INDEX('03.Muestra'!$F$8:$F$42,SMALL(IF("Página Web"='03.Muestra'!$D$8:$D$42,ROW('03.Muestra'!$F$8:$F$42)-MIN(ROW('03.Muestra'!$D$8:$D$42))+1,""),ROW()-930)),"")</f>
        <v>https://www.portcastello.com/</v>
      </c>
      <c r="D932" s="130" t="str">
        <f t="shared" ref="D932:D965" si="49">IF(AND(B932&lt;&gt;"",C932&lt;&gt;""),"N/T","")</f>
        <v>N/T</v>
      </c>
      <c r="E932" s="107" t="str">
        <f t="shared" si="48"/>
        <v/>
      </c>
      <c r="F932" s="120" t="n">
        <f ca="1">COUNTIF($D931:INDIRECT("$D" &amp;  SUM(ROW()-1,'03.Muestra'!$D$45)-1),F931)</f>
        <v>33.0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IF(COUNTIF('03.Muestra'!$D$8:$D$42,"Página Web")=0,0,COUNTBLANK($D931:INDIRECT("$D" &amp;  SUM(ROW()-1,COUNTIF('03.Muestra'!$D$8:$D$42,"Página Web"))-1)))</f>
        <v>0.0</v>
      </c>
      <c r="L932" s="19"/>
      <c r="M932" s="19"/>
      <c r="N932" s="19"/>
      <c r="O932" s="19"/>
      <c r="P932" s="19"/>
      <c r="Q932" s="19"/>
      <c r="R932" s="19"/>
      <c r="S932" s="19"/>
      <c r="T932" s="19"/>
      <c r="U932" s="19"/>
      <c r="V932" s="19"/>
      <c r="W932" s="19"/>
      <c r="X932" s="19"/>
      <c r="Y932" s="19"/>
    </row>
    <row r="933" spans="1:25" ht="12" customHeight="1">
      <c r="A933" s="219" t="n" cm="1">
        <f t="array" ref="A933">IFERROR(INDEX('03.Muestra'!$B$8:$B$42,SMALL(IF("Página Web"='03.Muestra'!$D$8:$D$42,ROW('03.Muestra'!$B$8:$B$42)-MIN(ROW('03.Muestra'!$D$8:$D$42))+1,""),ROW()-930)),"")</f>
        <v>1.0</v>
      </c>
      <c r="B933" s="114" t="str" cm="1">
        <f t="array" ref="B933">IFERROR(INDEX('03.Muestra'!$C$8:$C$42,SMALL(IF("Página Web"='03.Muestra'!$D$8:$D$42,ROW('03.Muestra'!$C$8:$C$42)-MIN(ROW('03.Muestra'!$D$8:$D$42))+1,""),ROW()-930)),"")</f>
        <v>Home - PortCastelló</v>
      </c>
      <c r="C933" s="114" t="str" cm="1">
        <f t="array" ref="C933">IFERROR(INDEX('03.Muestra'!$F$8:$F$42,SMALL(IF("Página Web"='03.Muestra'!$D$8:$D$42,ROW('03.Muestra'!$F$8:$F$42)-MIN(ROW('03.Muestra'!$D$8:$D$42))+1,""),ROW()-930)),"")</f>
        <v>https://www.portcastello.com/</v>
      </c>
      <c r="D933" s="130" t="str">
        <f t="shared" si="49"/>
        <v>N/T</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t="n" cm="1">
        <f t="array" ref="A934">IFERROR(INDEX('03.Muestra'!$B$8:$B$42,SMALL(IF("Página Web"='03.Muestra'!$D$8:$D$42,ROW('03.Muestra'!$B$8:$B$42)-MIN(ROW('03.Muestra'!$D$8:$D$42))+1,""),ROW()-930)),"")</f>
        <v>1.0</v>
      </c>
      <c r="B934" s="114" t="str" cm="1">
        <f t="array" ref="B934">IFERROR(INDEX('03.Muestra'!$C$8:$C$42,SMALL(IF("Página Web"='03.Muestra'!$D$8:$D$42,ROW('03.Muestra'!$C$8:$C$42)-MIN(ROW('03.Muestra'!$D$8:$D$42))+1,""),ROW()-930)),"")</f>
        <v>Home - PortCastelló</v>
      </c>
      <c r="C934" s="114" t="str" cm="1">
        <f t="array" ref="C934">IFERROR(INDEX('03.Muestra'!$F$8:$F$42,SMALL(IF("Página Web"='03.Muestra'!$D$8:$D$42,ROW('03.Muestra'!$F$8:$F$42)-MIN(ROW('03.Muestra'!$D$8:$D$42))+1,""),ROW()-930)),"")</f>
        <v>https://www.portcastello.com/</v>
      </c>
      <c r="D934" s="130" t="str">
        <f t="shared" si="49"/>
        <v>N/T</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t="n" cm="1">
        <f t="array" ref="A935">IFERROR(INDEX('03.Muestra'!$B$8:$B$42,SMALL(IF("Página Web"='03.Muestra'!$D$8:$D$42,ROW('03.Muestra'!$B$8:$B$42)-MIN(ROW('03.Muestra'!$D$8:$D$42))+1,""),ROW()-930)),"")</f>
        <v>1.0</v>
      </c>
      <c r="B935" s="114" t="str" cm="1">
        <f t="array" ref="B935">IFERROR(INDEX('03.Muestra'!$C$8:$C$42,SMALL(IF("Página Web"='03.Muestra'!$D$8:$D$42,ROW('03.Muestra'!$C$8:$C$42)-MIN(ROW('03.Muestra'!$D$8:$D$42))+1,""),ROW()-930)),"")</f>
        <v>Home - PortCastelló</v>
      </c>
      <c r="C935" s="114" t="str" cm="1">
        <f t="array" ref="C935">IFERROR(INDEX('03.Muestra'!$F$8:$F$42,SMALL(IF("Página Web"='03.Muestra'!$D$8:$D$42,ROW('03.Muestra'!$F$8:$F$42)-MIN(ROW('03.Muestra'!$D$8:$D$42))+1,""),ROW()-930)),"")</f>
        <v>https://www.portcastello.com/</v>
      </c>
      <c r="D935" s="130" t="str">
        <f t="shared" si="49"/>
        <v>N/T</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t="n" cm="1">
        <f t="array" ref="A936">IFERROR(INDEX('03.Muestra'!$B$8:$B$42,SMALL(IF("Página Web"='03.Muestra'!$D$8:$D$42,ROW('03.Muestra'!$B$8:$B$42)-MIN(ROW('03.Muestra'!$D$8:$D$42))+1,""),ROW()-930)),"")</f>
        <v>1.0</v>
      </c>
      <c r="B936" s="114" t="str" cm="1">
        <f t="array" ref="B936">IFERROR(INDEX('03.Muestra'!$C$8:$C$42,SMALL(IF("Página Web"='03.Muestra'!$D$8:$D$42,ROW('03.Muestra'!$C$8:$C$42)-MIN(ROW('03.Muestra'!$D$8:$D$42))+1,""),ROW()-930)),"")</f>
        <v>Home - PortCastelló</v>
      </c>
      <c r="C936" s="114" t="str" cm="1">
        <f t="array" ref="C936">IFERROR(INDEX('03.Muestra'!$F$8:$F$42,SMALL(IF("Página Web"='03.Muestra'!$D$8:$D$42,ROW('03.Muestra'!$F$8:$F$42)-MIN(ROW('03.Muestra'!$D$8:$D$42))+1,""),ROW()-930)),"")</f>
        <v>https://www.portcastello.com/</v>
      </c>
      <c r="D936" s="130" t="str">
        <f t="shared" si="49"/>
        <v>N/T</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t="n" cm="1">
        <f t="array" ref="A937">IFERROR(INDEX('03.Muestra'!$B$8:$B$42,SMALL(IF("Página Web"='03.Muestra'!$D$8:$D$42,ROW('03.Muestra'!$B$8:$B$42)-MIN(ROW('03.Muestra'!$D$8:$D$42))+1,""),ROW()-930)),"")</f>
        <v>1.0</v>
      </c>
      <c r="B937" s="114" t="str" cm="1">
        <f t="array" ref="B937">IFERROR(INDEX('03.Muestra'!$C$8:$C$42,SMALL(IF("Página Web"='03.Muestra'!$D$8:$D$42,ROW('03.Muestra'!$C$8:$C$42)-MIN(ROW('03.Muestra'!$D$8:$D$42))+1,""),ROW()-930)),"")</f>
        <v>Home - PortCastelló</v>
      </c>
      <c r="C937" s="114" t="str" cm="1">
        <f t="array" ref="C937">IFERROR(INDEX('03.Muestra'!$F$8:$F$42,SMALL(IF("Página Web"='03.Muestra'!$D$8:$D$42,ROW('03.Muestra'!$F$8:$F$42)-MIN(ROW('03.Muestra'!$D$8:$D$42))+1,""),ROW()-930)),"")</f>
        <v>https://www.portcastello.com/</v>
      </c>
      <c r="D937" s="130" t="str">
        <f t="shared" si="49"/>
        <v>N/T</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t="n" cm="1">
        <f t="array" ref="A938">IFERROR(INDEX('03.Muestra'!$B$8:$B$42,SMALL(IF("Página Web"='03.Muestra'!$D$8:$D$42,ROW('03.Muestra'!$B$8:$B$42)-MIN(ROW('03.Muestra'!$D$8:$D$42))+1,""),ROW()-930)),"")</f>
        <v>1.0</v>
      </c>
      <c r="B938" s="114" t="str" cm="1">
        <f t="array" ref="B938">IFERROR(INDEX('03.Muestra'!$C$8:$C$42,SMALL(IF("Página Web"='03.Muestra'!$D$8:$D$42,ROW('03.Muestra'!$C$8:$C$42)-MIN(ROW('03.Muestra'!$D$8:$D$42))+1,""),ROW()-930)),"")</f>
        <v>Home - PortCastelló</v>
      </c>
      <c r="C938" s="114" t="str" cm="1">
        <f t="array" ref="C938">IFERROR(INDEX('03.Muestra'!$F$8:$F$42,SMALL(IF("Página Web"='03.Muestra'!$D$8:$D$42,ROW('03.Muestra'!$F$8:$F$42)-MIN(ROW('03.Muestra'!$D$8:$D$42))+1,""),ROW()-930)),"")</f>
        <v>https://www.portcastello.com/</v>
      </c>
      <c r="D938" s="130" t="str">
        <f t="shared" si="49"/>
        <v>N/T</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n" cm="1">
        <f t="array" ref="A939">IFERROR(INDEX('03.Muestra'!$B$8:$B$42,SMALL(IF("Página Web"='03.Muestra'!$D$8:$D$42,ROW('03.Muestra'!$B$8:$B$42)-MIN(ROW('03.Muestra'!$D$8:$D$42))+1,""),ROW()-930)),"")</f>
        <v>1.0</v>
      </c>
      <c r="B939" s="114" t="str" cm="1">
        <f t="array" ref="B939">IFERROR(INDEX('03.Muestra'!$C$8:$C$42,SMALL(IF("Página Web"='03.Muestra'!$D$8:$D$42,ROW('03.Muestra'!$C$8:$C$42)-MIN(ROW('03.Muestra'!$D$8:$D$42))+1,""),ROW()-930)),"")</f>
        <v>Home - PortCastelló</v>
      </c>
      <c r="C939" s="114" t="str" cm="1">
        <f t="array" ref="C939">IFERROR(INDEX('03.Muestra'!$F$8:$F$42,SMALL(IF("Página Web"='03.Muestra'!$D$8:$D$42,ROW('03.Muestra'!$F$8:$F$42)-MIN(ROW('03.Muestra'!$D$8:$D$42))+1,""),ROW()-930)),"")</f>
        <v>https://www.portcastello.com/</v>
      </c>
      <c r="D939" s="130" t="str">
        <f t="shared" si="49"/>
        <v>N/T</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n" cm="1">
        <f t="array" ref="A940">IFERROR(INDEX('03.Muestra'!$B$8:$B$42,SMALL(IF("Página Web"='03.Muestra'!$D$8:$D$42,ROW('03.Muestra'!$B$8:$B$42)-MIN(ROW('03.Muestra'!$D$8:$D$42))+1,""),ROW()-930)),"")</f>
        <v>1.0</v>
      </c>
      <c r="B940" s="114" t="str" cm="1">
        <f t="array" ref="B940">IFERROR(INDEX('03.Muestra'!$C$8:$C$42,SMALL(IF("Página Web"='03.Muestra'!$D$8:$D$42,ROW('03.Muestra'!$C$8:$C$42)-MIN(ROW('03.Muestra'!$D$8:$D$42))+1,""),ROW()-930)),"")</f>
        <v>Home - PortCastelló</v>
      </c>
      <c r="C940" s="114" t="str" cm="1">
        <f t="array" ref="C940">IFERROR(INDEX('03.Muestra'!$F$8:$F$42,SMALL(IF("Página Web"='03.Muestra'!$D$8:$D$42,ROW('03.Muestra'!$F$8:$F$42)-MIN(ROW('03.Muestra'!$D$8:$D$42))+1,""),ROW()-930)),"")</f>
        <v>https://www.portcastello.com/</v>
      </c>
      <c r="D940" s="130" t="str">
        <f t="shared" si="49"/>
        <v>N/T</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n" cm="1">
        <f t="array" ref="A941">IFERROR(INDEX('03.Muestra'!$B$8:$B$42,SMALL(IF("Página Web"='03.Muestra'!$D$8:$D$42,ROW('03.Muestra'!$B$8:$B$42)-MIN(ROW('03.Muestra'!$D$8:$D$42))+1,""),ROW()-930)),"")</f>
        <v>1.0</v>
      </c>
      <c r="B941" s="114" t="str" cm="1">
        <f t="array" ref="B941">IFERROR(INDEX('03.Muestra'!$C$8:$C$42,SMALL(IF("Página Web"='03.Muestra'!$D$8:$D$42,ROW('03.Muestra'!$C$8:$C$42)-MIN(ROW('03.Muestra'!$D$8:$D$42))+1,""),ROW()-930)),"")</f>
        <v>Home - PortCastelló</v>
      </c>
      <c r="C941" s="114" t="str" cm="1">
        <f t="array" ref="C941">IFERROR(INDEX('03.Muestra'!$F$8:$F$42,SMALL(IF("Página Web"='03.Muestra'!$D$8:$D$42,ROW('03.Muestra'!$F$8:$F$42)-MIN(ROW('03.Muestra'!$D$8:$D$42))+1,""),ROW()-930)),"")</f>
        <v>https://www.portcastello.com/</v>
      </c>
      <c r="D941" s="130" t="str">
        <f t="shared" si="49"/>
        <v>N/T</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n" cm="1">
        <f t="array" ref="A942">IFERROR(INDEX('03.Muestra'!$B$8:$B$42,SMALL(IF("Página Web"='03.Muestra'!$D$8:$D$42,ROW('03.Muestra'!$B$8:$B$42)-MIN(ROW('03.Muestra'!$D$8:$D$42))+1,""),ROW()-930)),"")</f>
        <v>1.0</v>
      </c>
      <c r="B942" s="114" t="str" cm="1">
        <f t="array" ref="B942">IFERROR(INDEX('03.Muestra'!$C$8:$C$42,SMALL(IF("Página Web"='03.Muestra'!$D$8:$D$42,ROW('03.Muestra'!$C$8:$C$42)-MIN(ROW('03.Muestra'!$D$8:$D$42))+1,""),ROW()-930)),"")</f>
        <v>Home - PortCastelló</v>
      </c>
      <c r="C942" s="114" t="str" cm="1">
        <f t="array" ref="C942">IFERROR(INDEX('03.Muestra'!$F$8:$F$42,SMALL(IF("Página Web"='03.Muestra'!$D$8:$D$42,ROW('03.Muestra'!$F$8:$F$42)-MIN(ROW('03.Muestra'!$D$8:$D$42))+1,""),ROW()-930)),"")</f>
        <v>https://www.portcastello.com/</v>
      </c>
      <c r="D942" s="130" t="str">
        <f t="shared" si="49"/>
        <v>N/T</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n" cm="1">
        <f t="array" ref="A943">IFERROR(INDEX('03.Muestra'!$B$8:$B$42,SMALL(IF("Página Web"='03.Muestra'!$D$8:$D$42,ROW('03.Muestra'!$B$8:$B$42)-MIN(ROW('03.Muestra'!$D$8:$D$42))+1,""),ROW()-930)),"")</f>
        <v>1.0</v>
      </c>
      <c r="B943" s="114" t="str" cm="1">
        <f t="array" ref="B943">IFERROR(INDEX('03.Muestra'!$C$8:$C$42,SMALL(IF("Página Web"='03.Muestra'!$D$8:$D$42,ROW('03.Muestra'!$C$8:$C$42)-MIN(ROW('03.Muestra'!$D$8:$D$42))+1,""),ROW()-930)),"")</f>
        <v>Home - PortCastelló</v>
      </c>
      <c r="C943" s="114" t="str" cm="1">
        <f t="array" ref="C943">IFERROR(INDEX('03.Muestra'!$F$8:$F$42,SMALL(IF("Página Web"='03.Muestra'!$D$8:$D$42,ROW('03.Muestra'!$F$8:$F$42)-MIN(ROW('03.Muestra'!$D$8:$D$42))+1,""),ROW()-930)),"")</f>
        <v>https://www.portcastello.com/</v>
      </c>
      <c r="D943" s="130" t="str">
        <f t="shared" si="49"/>
        <v>N/T</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n" cm="1">
        <f t="array" ref="A944">IFERROR(INDEX('03.Muestra'!$B$8:$B$42,SMALL(IF("Página Web"='03.Muestra'!$D$8:$D$42,ROW('03.Muestra'!$B$8:$B$42)-MIN(ROW('03.Muestra'!$D$8:$D$42))+1,""),ROW()-930)),"")</f>
        <v>1.0</v>
      </c>
      <c r="B944" s="114" t="str" cm="1">
        <f t="array" ref="B944">IFERROR(INDEX('03.Muestra'!$C$8:$C$42,SMALL(IF("Página Web"='03.Muestra'!$D$8:$D$42,ROW('03.Muestra'!$C$8:$C$42)-MIN(ROW('03.Muestra'!$D$8:$D$42))+1,""),ROW()-930)),"")</f>
        <v>Home - PortCastelló</v>
      </c>
      <c r="C944" s="114" t="str" cm="1">
        <f t="array" ref="C944">IFERROR(INDEX('03.Muestra'!$F$8:$F$42,SMALL(IF("Página Web"='03.Muestra'!$D$8:$D$42,ROW('03.Muestra'!$F$8:$F$42)-MIN(ROW('03.Muestra'!$D$8:$D$42))+1,""),ROW()-930)),"")</f>
        <v>https://www.portcastello.com/</v>
      </c>
      <c r="D944" s="130" t="str">
        <f t="shared" si="49"/>
        <v>N/T</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n" cm="1">
        <f t="array" ref="A945">IFERROR(INDEX('03.Muestra'!$B$8:$B$42,SMALL(IF("Página Web"='03.Muestra'!$D$8:$D$42,ROW('03.Muestra'!$B$8:$B$42)-MIN(ROW('03.Muestra'!$D$8:$D$42))+1,""),ROW()-930)),"")</f>
        <v>1.0</v>
      </c>
      <c r="B945" s="114" t="str" cm="1">
        <f t="array" ref="B945">IFERROR(INDEX('03.Muestra'!$C$8:$C$42,SMALL(IF("Página Web"='03.Muestra'!$D$8:$D$42,ROW('03.Muestra'!$C$8:$C$42)-MIN(ROW('03.Muestra'!$D$8:$D$42))+1,""),ROW()-930)),"")</f>
        <v>Home - PortCastelló</v>
      </c>
      <c r="C945" s="114" t="str" cm="1">
        <f t="array" ref="C945">IFERROR(INDEX('03.Muestra'!$F$8:$F$42,SMALL(IF("Página Web"='03.Muestra'!$D$8:$D$42,ROW('03.Muestra'!$F$8:$F$42)-MIN(ROW('03.Muestra'!$D$8:$D$42))+1,""),ROW()-930)),"")</f>
        <v>https://www.portcastello.com/</v>
      </c>
      <c r="D945" s="130" t="str">
        <f t="shared" si="49"/>
        <v>N/T</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n" cm="1">
        <f t="array" ref="A946">IFERROR(INDEX('03.Muestra'!$B$8:$B$42,SMALL(IF("Página Web"='03.Muestra'!$D$8:$D$42,ROW('03.Muestra'!$B$8:$B$42)-MIN(ROW('03.Muestra'!$D$8:$D$42))+1,""),ROW()-930)),"")</f>
        <v>1.0</v>
      </c>
      <c r="B946" s="114" t="str" cm="1">
        <f t="array" ref="B946">IFERROR(INDEX('03.Muestra'!$C$8:$C$42,SMALL(IF("Página Web"='03.Muestra'!$D$8:$D$42,ROW('03.Muestra'!$C$8:$C$42)-MIN(ROW('03.Muestra'!$D$8:$D$42))+1,""),ROW()-930)),"")</f>
        <v>Home - PortCastelló</v>
      </c>
      <c r="C946" s="114" t="str" cm="1">
        <f t="array" ref="C946">IFERROR(INDEX('03.Muestra'!$F$8:$F$42,SMALL(IF("Página Web"='03.Muestra'!$D$8:$D$42,ROW('03.Muestra'!$F$8:$F$42)-MIN(ROW('03.Muestra'!$D$8:$D$42))+1,""),ROW()-930)),"")</f>
        <v>https://www.portcastello.com/</v>
      </c>
      <c r="D946" s="130" t="str">
        <f t="shared" si="49"/>
        <v>N/T</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n" cm="1">
        <f t="array" ref="A947">IFERROR(INDEX('03.Muestra'!$B$8:$B$42,SMALL(IF("Página Web"='03.Muestra'!$D$8:$D$42,ROW('03.Muestra'!$B$8:$B$42)-MIN(ROW('03.Muestra'!$D$8:$D$42))+1,""),ROW()-930)),"")</f>
        <v>1.0</v>
      </c>
      <c r="B947" s="114" t="str" cm="1">
        <f t="array" ref="B947">IFERROR(INDEX('03.Muestra'!$C$8:$C$42,SMALL(IF("Página Web"='03.Muestra'!$D$8:$D$42,ROW('03.Muestra'!$C$8:$C$42)-MIN(ROW('03.Muestra'!$D$8:$D$42))+1,""),ROW()-930)),"")</f>
        <v>Home - PortCastelló</v>
      </c>
      <c r="C947" s="114" t="str" cm="1">
        <f t="array" ref="C947">IFERROR(INDEX('03.Muestra'!$F$8:$F$42,SMALL(IF("Página Web"='03.Muestra'!$D$8:$D$42,ROW('03.Muestra'!$F$8:$F$42)-MIN(ROW('03.Muestra'!$D$8:$D$42))+1,""),ROW()-930)),"")</f>
        <v>https://www.portcastello.com/</v>
      </c>
      <c r="D947" s="130" t="str">
        <f t="shared" si="49"/>
        <v>N/T</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n" cm="1">
        <f t="array" ref="A948">IFERROR(INDEX('03.Muestra'!$B$8:$B$42,SMALL(IF("Página Web"='03.Muestra'!$D$8:$D$42,ROW('03.Muestra'!$B$8:$B$42)-MIN(ROW('03.Muestra'!$D$8:$D$42))+1,""),ROW()-930)),"")</f>
        <v>1.0</v>
      </c>
      <c r="B948" s="114" t="str" cm="1">
        <f t="array" ref="B948">IFERROR(INDEX('03.Muestra'!$C$8:$C$42,SMALL(IF("Página Web"='03.Muestra'!$D$8:$D$42,ROW('03.Muestra'!$C$8:$C$42)-MIN(ROW('03.Muestra'!$D$8:$D$42))+1,""),ROW()-930)),"")</f>
        <v>Home - PortCastelló</v>
      </c>
      <c r="C948" s="114" t="str" cm="1">
        <f t="array" ref="C948">IFERROR(INDEX('03.Muestra'!$F$8:$F$42,SMALL(IF("Página Web"='03.Muestra'!$D$8:$D$42,ROW('03.Muestra'!$F$8:$F$42)-MIN(ROW('03.Muestra'!$D$8:$D$42))+1,""),ROW()-930)),"")</f>
        <v>https://www.portcastello.com/</v>
      </c>
      <c r="D948" s="130" t="str">
        <f t="shared" si="49"/>
        <v>N/T</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n" cm="1">
        <f t="array" ref="A949">IFERROR(INDEX('03.Muestra'!$B$8:$B$42,SMALL(IF("Página Web"='03.Muestra'!$D$8:$D$42,ROW('03.Muestra'!$B$8:$B$42)-MIN(ROW('03.Muestra'!$D$8:$D$42))+1,""),ROW()-930)),"")</f>
        <v>1.0</v>
      </c>
      <c r="B949" s="114" t="str" cm="1">
        <f t="array" ref="B949">IFERROR(INDEX('03.Muestra'!$C$8:$C$42,SMALL(IF("Página Web"='03.Muestra'!$D$8:$D$42,ROW('03.Muestra'!$C$8:$C$42)-MIN(ROW('03.Muestra'!$D$8:$D$42))+1,""),ROW()-930)),"")</f>
        <v>Home - PortCastelló</v>
      </c>
      <c r="C949" s="114" t="str" cm="1">
        <f t="array" ref="C949">IFERROR(INDEX('03.Muestra'!$F$8:$F$42,SMALL(IF("Página Web"='03.Muestra'!$D$8:$D$42,ROW('03.Muestra'!$F$8:$F$42)-MIN(ROW('03.Muestra'!$D$8:$D$42))+1,""),ROW()-930)),"")</f>
        <v>https://www.portcastello.com/</v>
      </c>
      <c r="D949" s="130" t="str">
        <f t="shared" si="49"/>
        <v>N/T</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n" cm="1">
        <f t="array" ref="A950">IFERROR(INDEX('03.Muestra'!$B$8:$B$42,SMALL(IF("Página Web"='03.Muestra'!$D$8:$D$42,ROW('03.Muestra'!$B$8:$B$42)-MIN(ROW('03.Muestra'!$D$8:$D$42))+1,""),ROW()-930)),"")</f>
        <v>1.0</v>
      </c>
      <c r="B950" s="114" t="str" cm="1">
        <f t="array" ref="B950">IFERROR(INDEX('03.Muestra'!$C$8:$C$42,SMALL(IF("Página Web"='03.Muestra'!$D$8:$D$42,ROW('03.Muestra'!$C$8:$C$42)-MIN(ROW('03.Muestra'!$D$8:$D$42))+1,""),ROW()-930)),"")</f>
        <v>Home - PortCastelló</v>
      </c>
      <c r="C950" s="114" t="str" cm="1">
        <f t="array" ref="C950">IFERROR(INDEX('03.Muestra'!$F$8:$F$42,SMALL(IF("Página Web"='03.Muestra'!$D$8:$D$42,ROW('03.Muestra'!$F$8:$F$42)-MIN(ROW('03.Muestra'!$D$8:$D$42))+1,""),ROW()-930)),"")</f>
        <v>https://www.portcastello.com/</v>
      </c>
      <c r="D950" s="130" t="str">
        <f t="shared" si="49"/>
        <v>N/T</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n" cm="1">
        <f t="array" ref="A951">IFERROR(INDEX('03.Muestra'!$B$8:$B$42,SMALL(IF("Página Web"='03.Muestra'!$D$8:$D$42,ROW('03.Muestra'!$B$8:$B$42)-MIN(ROW('03.Muestra'!$D$8:$D$42))+1,""),ROW()-930)),"")</f>
        <v>1.0</v>
      </c>
      <c r="B951" s="114" t="str" cm="1">
        <f t="array" ref="B951">IFERROR(INDEX('03.Muestra'!$C$8:$C$42,SMALL(IF("Página Web"='03.Muestra'!$D$8:$D$42,ROW('03.Muestra'!$C$8:$C$42)-MIN(ROW('03.Muestra'!$D$8:$D$42))+1,""),ROW()-930)),"")</f>
        <v>Home - PortCastelló</v>
      </c>
      <c r="C951" s="114" t="str" cm="1">
        <f t="array" ref="C951">IFERROR(INDEX('03.Muestra'!$F$8:$F$42,SMALL(IF("Página Web"='03.Muestra'!$D$8:$D$42,ROW('03.Muestra'!$F$8:$F$42)-MIN(ROW('03.Muestra'!$D$8:$D$42))+1,""),ROW()-930)),"")</f>
        <v>https://www.portcastello.com/</v>
      </c>
      <c r="D951" s="130" t="str">
        <f t="shared" si="49"/>
        <v>N/T</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n" cm="1">
        <f t="array" ref="A952">IFERROR(INDEX('03.Muestra'!$B$8:$B$42,SMALL(IF("Página Web"='03.Muestra'!$D$8:$D$42,ROW('03.Muestra'!$B$8:$B$42)-MIN(ROW('03.Muestra'!$D$8:$D$42))+1,""),ROW()-930)),"")</f>
        <v>1.0</v>
      </c>
      <c r="B952" s="114" t="str" cm="1">
        <f t="array" ref="B952">IFERROR(INDEX('03.Muestra'!$C$8:$C$42,SMALL(IF("Página Web"='03.Muestra'!$D$8:$D$42,ROW('03.Muestra'!$C$8:$C$42)-MIN(ROW('03.Muestra'!$D$8:$D$42))+1,""),ROW()-930)),"")</f>
        <v>Home - PortCastelló</v>
      </c>
      <c r="C952" s="114" t="str" cm="1">
        <f t="array" ref="C952">IFERROR(INDEX('03.Muestra'!$F$8:$F$42,SMALL(IF("Página Web"='03.Muestra'!$D$8:$D$42,ROW('03.Muestra'!$F$8:$F$42)-MIN(ROW('03.Muestra'!$D$8:$D$42))+1,""),ROW()-930)),"")</f>
        <v>https://www.portcastello.com/</v>
      </c>
      <c r="D952" s="130" t="str">
        <f t="shared" si="49"/>
        <v>N/T</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n" cm="1">
        <f t="array" ref="A953">IFERROR(INDEX('03.Muestra'!$B$8:$B$42,SMALL(IF("Página Web"='03.Muestra'!$D$8:$D$42,ROW('03.Muestra'!$B$8:$B$42)-MIN(ROW('03.Muestra'!$D$8:$D$42))+1,""),ROW()-930)),"")</f>
        <v>1.0</v>
      </c>
      <c r="B953" s="114" t="str" cm="1">
        <f t="array" ref="B953">IFERROR(INDEX('03.Muestra'!$C$8:$C$42,SMALL(IF("Página Web"='03.Muestra'!$D$8:$D$42,ROW('03.Muestra'!$C$8:$C$42)-MIN(ROW('03.Muestra'!$D$8:$D$42))+1,""),ROW()-930)),"")</f>
        <v>Home - PortCastelló</v>
      </c>
      <c r="C953" s="114" t="str" cm="1">
        <f t="array" ref="C953">IFERROR(INDEX('03.Muestra'!$F$8:$F$42,SMALL(IF("Página Web"='03.Muestra'!$D$8:$D$42,ROW('03.Muestra'!$F$8:$F$42)-MIN(ROW('03.Muestra'!$D$8:$D$42))+1,""),ROW()-930)),"")</f>
        <v>https://www.portcastello.com/</v>
      </c>
      <c r="D953" s="130" t="str">
        <f t="shared" si="49"/>
        <v>N/T</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n" cm="1">
        <f t="array" ref="A954">IFERROR(INDEX('03.Muestra'!$B$8:$B$42,SMALL(IF("Página Web"='03.Muestra'!$D$8:$D$42,ROW('03.Muestra'!$B$8:$B$42)-MIN(ROW('03.Muestra'!$D$8:$D$42))+1,""),ROW()-930)),"")</f>
        <v>1.0</v>
      </c>
      <c r="B954" s="114" t="str" cm="1">
        <f t="array" ref="B954">IFERROR(INDEX('03.Muestra'!$C$8:$C$42,SMALL(IF("Página Web"='03.Muestra'!$D$8:$D$42,ROW('03.Muestra'!$C$8:$C$42)-MIN(ROW('03.Muestra'!$D$8:$D$42))+1,""),ROW()-930)),"")</f>
        <v>Home - PortCastelló</v>
      </c>
      <c r="C954" s="114" t="str" cm="1">
        <f t="array" ref="C954">IFERROR(INDEX('03.Muestra'!$F$8:$F$42,SMALL(IF("Página Web"='03.Muestra'!$D$8:$D$42,ROW('03.Muestra'!$F$8:$F$42)-MIN(ROW('03.Muestra'!$D$8:$D$42))+1,""),ROW()-930)),"")</f>
        <v>https://www.portcastello.com/</v>
      </c>
      <c r="D954" s="130" t="str">
        <f t="shared" si="49"/>
        <v>N/T</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n" cm="1">
        <f t="array" ref="A955">IFERROR(INDEX('03.Muestra'!$B$8:$B$42,SMALL(IF("Página Web"='03.Muestra'!$D$8:$D$42,ROW('03.Muestra'!$B$8:$B$42)-MIN(ROW('03.Muestra'!$D$8:$D$42))+1,""),ROW()-930)),"")</f>
        <v>1.0</v>
      </c>
      <c r="B955" s="114" t="str" cm="1">
        <f t="array" ref="B955">IFERROR(INDEX('03.Muestra'!$C$8:$C$42,SMALL(IF("Página Web"='03.Muestra'!$D$8:$D$42,ROW('03.Muestra'!$C$8:$C$42)-MIN(ROW('03.Muestra'!$D$8:$D$42))+1,""),ROW()-930)),"")</f>
        <v>Home - PortCastelló</v>
      </c>
      <c r="C955" s="114" t="str" cm="1">
        <f t="array" ref="C955">IFERROR(INDEX('03.Muestra'!$F$8:$F$42,SMALL(IF("Página Web"='03.Muestra'!$D$8:$D$42,ROW('03.Muestra'!$F$8:$F$42)-MIN(ROW('03.Muestra'!$D$8:$D$42))+1,""),ROW()-930)),"")</f>
        <v>https://www.portcastello.com/</v>
      </c>
      <c r="D955" s="130" t="str">
        <f t="shared" si="49"/>
        <v>N/T</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n" cm="1">
        <f t="array" ref="A956">IFERROR(INDEX('03.Muestra'!$B$8:$B$42,SMALL(IF("Página Web"='03.Muestra'!$D$8:$D$42,ROW('03.Muestra'!$B$8:$B$42)-MIN(ROW('03.Muestra'!$D$8:$D$42))+1,""),ROW()-930)),"")</f>
        <v>1.0</v>
      </c>
      <c r="B956" s="114" t="str" cm="1">
        <f t="array" ref="B956">IFERROR(INDEX('03.Muestra'!$C$8:$C$42,SMALL(IF("Página Web"='03.Muestra'!$D$8:$D$42,ROW('03.Muestra'!$C$8:$C$42)-MIN(ROW('03.Muestra'!$D$8:$D$42))+1,""),ROW()-930)),"")</f>
        <v>Home - PortCastelló</v>
      </c>
      <c r="C956" s="114" t="str" cm="1">
        <f t="array" ref="C956">IFERROR(INDEX('03.Muestra'!$F$8:$F$42,SMALL(IF("Página Web"='03.Muestra'!$D$8:$D$42,ROW('03.Muestra'!$F$8:$F$42)-MIN(ROW('03.Muestra'!$D$8:$D$42))+1,""),ROW()-930)),"")</f>
        <v>https://www.portcastello.com/</v>
      </c>
      <c r="D956" s="130" t="str">
        <f t="shared" si="49"/>
        <v>N/T</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n" cm="1">
        <f t="array" ref="A957">IFERROR(INDEX('03.Muestra'!$B$8:$B$42,SMALL(IF("Página Web"='03.Muestra'!$D$8:$D$42,ROW('03.Muestra'!$B$8:$B$42)-MIN(ROW('03.Muestra'!$D$8:$D$42))+1,""),ROW()-930)),"")</f>
        <v>1.0</v>
      </c>
      <c r="B957" s="114" t="str" cm="1">
        <f t="array" ref="B957">IFERROR(INDEX('03.Muestra'!$C$8:$C$42,SMALL(IF("Página Web"='03.Muestra'!$D$8:$D$42,ROW('03.Muestra'!$C$8:$C$42)-MIN(ROW('03.Muestra'!$D$8:$D$42))+1,""),ROW()-930)),"")</f>
        <v>Home - PortCastelló</v>
      </c>
      <c r="C957" s="114" t="str" cm="1">
        <f t="array" ref="C957">IFERROR(INDEX('03.Muestra'!$F$8:$F$42,SMALL(IF("Página Web"='03.Muestra'!$D$8:$D$42,ROW('03.Muestra'!$F$8:$F$42)-MIN(ROW('03.Muestra'!$D$8:$D$42))+1,""),ROW()-930)),"")</f>
        <v>https://www.portcastello.com/</v>
      </c>
      <c r="D957" s="130" t="str">
        <f t="shared" si="49"/>
        <v>N/T</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n" cm="1">
        <f t="array" ref="A958">IFERROR(INDEX('03.Muestra'!$B$8:$B$42,SMALL(IF("Página Web"='03.Muestra'!$D$8:$D$42,ROW('03.Muestra'!$B$8:$B$42)-MIN(ROW('03.Muestra'!$D$8:$D$42))+1,""),ROW()-930)),"")</f>
        <v>1.0</v>
      </c>
      <c r="B958" s="114" t="str" cm="1">
        <f t="array" ref="B958">IFERROR(INDEX('03.Muestra'!$C$8:$C$42,SMALL(IF("Página Web"='03.Muestra'!$D$8:$D$42,ROW('03.Muestra'!$C$8:$C$42)-MIN(ROW('03.Muestra'!$D$8:$D$42))+1,""),ROW()-930)),"")</f>
        <v>Home - PortCastelló</v>
      </c>
      <c r="C958" s="114" t="str" cm="1">
        <f t="array" ref="C958">IFERROR(INDEX('03.Muestra'!$F$8:$F$42,SMALL(IF("Página Web"='03.Muestra'!$D$8:$D$42,ROW('03.Muestra'!$F$8:$F$42)-MIN(ROW('03.Muestra'!$D$8:$D$42))+1,""),ROW()-930)),"")</f>
        <v>https://www.portcastello.com/</v>
      </c>
      <c r="D958" s="130" t="str">
        <f t="shared" si="49"/>
        <v>N/T</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n" cm="1">
        <f t="array" ref="A959">IFERROR(INDEX('03.Muestra'!$B$8:$B$42,SMALL(IF("Página Web"='03.Muestra'!$D$8:$D$42,ROW('03.Muestra'!$B$8:$B$42)-MIN(ROW('03.Muestra'!$D$8:$D$42))+1,""),ROW()-930)),"")</f>
        <v>1.0</v>
      </c>
      <c r="B959" s="114" t="str" cm="1">
        <f t="array" ref="B959">IFERROR(INDEX('03.Muestra'!$C$8:$C$42,SMALL(IF("Página Web"='03.Muestra'!$D$8:$D$42,ROW('03.Muestra'!$C$8:$C$42)-MIN(ROW('03.Muestra'!$D$8:$D$42))+1,""),ROW()-930)),"")</f>
        <v>Home - PortCastelló</v>
      </c>
      <c r="C959" s="114" t="str" cm="1">
        <f t="array" ref="C959">IFERROR(INDEX('03.Muestra'!$F$8:$F$42,SMALL(IF("Página Web"='03.Muestra'!$D$8:$D$42,ROW('03.Muestra'!$F$8:$F$42)-MIN(ROW('03.Muestra'!$D$8:$D$42))+1,""),ROW()-930)),"")</f>
        <v>https://www.portcastello.com/</v>
      </c>
      <c r="D959" s="130" t="str">
        <f t="shared" si="49"/>
        <v>N/T</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n" cm="1">
        <f t="array" ref="A960">IFERROR(INDEX('03.Muestra'!$B$8:$B$42,SMALL(IF("Página Web"='03.Muestra'!$D$8:$D$42,ROW('03.Muestra'!$B$8:$B$42)-MIN(ROW('03.Muestra'!$D$8:$D$42))+1,""),ROW()-930)),"")</f>
        <v>1.0</v>
      </c>
      <c r="B960" s="114" t="str" cm="1">
        <f t="array" ref="B960">IFERROR(INDEX('03.Muestra'!$C$8:$C$42,SMALL(IF("Página Web"='03.Muestra'!$D$8:$D$42,ROW('03.Muestra'!$C$8:$C$42)-MIN(ROW('03.Muestra'!$D$8:$D$42))+1,""),ROW()-930)),"")</f>
        <v>Home - PortCastelló</v>
      </c>
      <c r="C960" s="114" t="str" cm="1">
        <f t="array" ref="C960">IFERROR(INDEX('03.Muestra'!$F$8:$F$42,SMALL(IF("Página Web"='03.Muestra'!$D$8:$D$42,ROW('03.Muestra'!$F$8:$F$42)-MIN(ROW('03.Muestra'!$D$8:$D$42))+1,""),ROW()-930)),"")</f>
        <v>https://www.portcastello.com/</v>
      </c>
      <c r="D960" s="130" t="str">
        <f t="shared" si="49"/>
        <v>N/T</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n" cm="1">
        <f t="array" ref="A961">IFERROR(INDEX('03.Muestra'!$B$8:$B$42,SMALL(IF("Página Web"='03.Muestra'!$D$8:$D$42,ROW('03.Muestra'!$B$8:$B$42)-MIN(ROW('03.Muestra'!$D$8:$D$42))+1,""),ROW()-930)),"")</f>
        <v>1.0</v>
      </c>
      <c r="B961" s="114" t="str" cm="1">
        <f t="array" ref="B961">IFERROR(INDEX('03.Muestra'!$C$8:$C$42,SMALL(IF("Página Web"='03.Muestra'!$D$8:$D$42,ROW('03.Muestra'!$C$8:$C$42)-MIN(ROW('03.Muestra'!$D$8:$D$42))+1,""),ROW()-930)),"")</f>
        <v>Home - PortCastelló</v>
      </c>
      <c r="C961" s="114" t="str" cm="1">
        <f t="array" ref="C961">IFERROR(INDEX('03.Muestra'!$F$8:$F$42,SMALL(IF("Página Web"='03.Muestra'!$D$8:$D$42,ROW('03.Muestra'!$F$8:$F$42)-MIN(ROW('03.Muestra'!$D$8:$D$42))+1,""),ROW()-930)),"")</f>
        <v>https://www.portcastello.com/</v>
      </c>
      <c r="D961" s="130" t="str">
        <f t="shared" si="49"/>
        <v>N/T</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n" cm="1">
        <f t="array" ref="A962">IFERROR(INDEX('03.Muestra'!$B$8:$B$42,SMALL(IF("Página Web"='03.Muestra'!$D$8:$D$42,ROW('03.Muestra'!$B$8:$B$42)-MIN(ROW('03.Muestra'!$D$8:$D$42))+1,""),ROW()-930)),"")</f>
        <v>1.0</v>
      </c>
      <c r="B962" s="114" t="str" cm="1">
        <f t="array" ref="B962">IFERROR(INDEX('03.Muestra'!$C$8:$C$42,SMALL(IF("Página Web"='03.Muestra'!$D$8:$D$42,ROW('03.Muestra'!$C$8:$C$42)-MIN(ROW('03.Muestra'!$D$8:$D$42))+1,""),ROW()-930)),"")</f>
        <v>Home - PortCastelló</v>
      </c>
      <c r="C962" s="114" t="str" cm="1">
        <f t="array" ref="C962">IFERROR(INDEX('03.Muestra'!$F$8:$F$42,SMALL(IF("Página Web"='03.Muestra'!$D$8:$D$42,ROW('03.Muestra'!$F$8:$F$42)-MIN(ROW('03.Muestra'!$D$8:$D$42))+1,""),ROW()-930)),"")</f>
        <v>https://www.portcastello.com/</v>
      </c>
      <c r="D962" s="130" t="str">
        <f t="shared" si="49"/>
        <v>N/T</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n" cm="1">
        <f t="array" ref="A963">IFERROR(INDEX('03.Muestra'!$B$8:$B$42,SMALL(IF("Página Web"='03.Muestra'!$D$8:$D$42,ROW('03.Muestra'!$B$8:$B$42)-MIN(ROW('03.Muestra'!$D$8:$D$42))+1,""),ROW()-930)),"")</f>
        <v>1.0</v>
      </c>
      <c r="B963" s="114" t="str" cm="1">
        <f t="array" ref="B963">IFERROR(INDEX('03.Muestra'!$C$8:$C$42,SMALL(IF("Página Web"='03.Muestra'!$D$8:$D$42,ROW('03.Muestra'!$C$8:$C$42)-MIN(ROW('03.Muestra'!$D$8:$D$42))+1,""),ROW()-930)),"")</f>
        <v>Home - PortCastelló</v>
      </c>
      <c r="C963" s="114" t="str" cm="1">
        <f t="array" ref="C963">IFERROR(INDEX('03.Muestra'!$F$8:$F$42,SMALL(IF("Página Web"='03.Muestra'!$D$8:$D$42,ROW('03.Muestra'!$F$8:$F$42)-MIN(ROW('03.Muestra'!$D$8:$D$42))+1,""),ROW()-930)),"")</f>
        <v>https://www.portcastello.com/</v>
      </c>
      <c r="D963" s="130" t="str">
        <f t="shared" si="49"/>
        <v>N/T</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str" cm="1">
        <f t="array" ref="A964">IFERROR(INDEX('03.Muestra'!$B$8:$B$42,SMALL(IF("Página Web"='03.Muestra'!$D$8:$D$42,ROW('03.Muestra'!$B$8:$B$42)-MIN(ROW('03.Muestra'!$D$8:$D$42))+1,""),ROW()-930)),"")</f>
        <v/>
      </c>
      <c r="B964" s="114" t="str" cm="1">
        <f t="array" ref="B964">IFERROR(INDEX('03.Muestra'!$C$8:$C$42,SMALL(IF("Página Web"='03.Muestra'!$D$8:$D$42,ROW('03.Muestra'!$C$8:$C$42)-MIN(ROW('03.Muestra'!$D$8:$D$42))+1,""),ROW()-930)),"")</f>
        <v/>
      </c>
      <c r="C964" s="114" t="str" cm="1">
        <f t="array" ref="C964">IFERROR(INDEX('03.Muestra'!$F$8:$F$42,SMALL(IF("Página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268</v>
      </c>
      <c r="B968" s="24" t="s">
        <v>90</v>
      </c>
      <c r="C968" s="25" t="s">
        <v>398</v>
      </c>
      <c r="D968" s="26" t="s">
        <v>32</v>
      </c>
      <c r="E968" s="123"/>
      <c r="K968" s="233"/>
      <c r="L968" s="19"/>
      <c r="M968" s="19"/>
      <c r="N968" s="19"/>
      <c r="O968" s="19"/>
      <c r="P968" s="19"/>
      <c r="Q968" s="19"/>
      <c r="R968" s="19"/>
      <c r="S968" s="19"/>
      <c r="T968" s="19"/>
      <c r="U968" s="19"/>
      <c r="V968" s="19"/>
      <c r="W968" s="19"/>
      <c r="X968" s="19"/>
      <c r="Y968" s="19"/>
    </row>
    <row r="969" spans="1:25" ht="12" customHeight="1">
      <c r="A969" s="219" t="n" cm="1">
        <f t="array" ref="A969">IFERROR(INDEX('03.Muestra'!$B$8:$B$42,SMALL(IF("Página Web"='03.Muestra'!$D$8:$D$42,ROW('03.Muestra'!$B$8:$B$42)-MIN(ROW('03.Muestra'!$D$8:$D$42))+1,""),ROW()-968)),"")</f>
        <v>1.0</v>
      </c>
      <c r="B969" s="114" t="str" cm="1">
        <f t="array" ref="B969">IFERROR(INDEX('03.Muestra'!$C$8:$C$42,SMALL(IF("Página Web"='03.Muestra'!$D$8:$D$42,ROW('03.Muestra'!$C$8:$C$42)-MIN(ROW('03.Muestra'!$D$8:$D$42))+1,""),ROW()-968)),"")</f>
        <v>Home - PortCastelló</v>
      </c>
      <c r="C969" s="114" t="str" cm="1">
        <f t="array" ref="C969">IFERROR(INDEX('03.Muestra'!$F$8:$F$42,SMALL(IF("Página Web"='03.Muestra'!$D$8:$D$42,ROW('03.Muestra'!$F$8:$F$42)-MIN(ROW('03.Muestra'!$D$8:$D$42))+1,""),ROW()-968)),"")</f>
        <v>https://www.portcastello.com/</v>
      </c>
      <c r="D969" s="130" t="s">
        <v>37</v>
      </c>
      <c r="E969" s="107" t="str">
        <f t="shared" ref="E969:E1003"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2" customHeight="1">
      <c r="A970" s="219" t="n" cm="1">
        <f t="array" ref="A970">IFERROR(INDEX('03.Muestra'!$B$8:$B$42,SMALL(IF("Página Web"='03.Muestra'!$D$8:$D$42,ROW('03.Muestra'!$B$8:$B$42)-MIN(ROW('03.Muestra'!$D$8:$D$42))+1,""),ROW()-968)),"")</f>
        <v>1.0</v>
      </c>
      <c r="B970" s="114" t="str" cm="1">
        <f t="array" ref="B970">IFERROR(INDEX('03.Muestra'!$C$8:$C$42,SMALL(IF("Página Web"='03.Muestra'!$D$8:$D$42,ROW('03.Muestra'!$C$8:$C$42)-MIN(ROW('03.Muestra'!$D$8:$D$42))+1,""),ROW()-968)),"")</f>
        <v>Home - PortCastelló</v>
      </c>
      <c r="C970" s="114" t="str" cm="1">
        <f t="array" ref="C970">IFERROR(INDEX('03.Muestra'!$F$8:$F$42,SMALL(IF("Página Web"='03.Muestra'!$D$8:$D$42,ROW('03.Muestra'!$F$8:$F$42)-MIN(ROW('03.Muestra'!$D$8:$D$42))+1,""),ROW()-968)),"")</f>
        <v>https://www.portcastello.com/</v>
      </c>
      <c r="D970" s="130" t="s">
        <v>37</v>
      </c>
      <c r="E970" s="107" t="str">
        <f t="shared" si="50"/>
        <v/>
      </c>
      <c r="F970" s="120" t="n">
        <f ca="1">COUNTIF($D969:INDIRECT("$D" &amp;  SUM(ROW()-1,'03.Muestra'!$D$45)-1),F969)</f>
        <v>0.0</v>
      </c>
      <c r="G970" s="120" t="n">
        <f ca="1">COUNTIF($D969:INDIRECT("$D" &amp;  SUM(ROW()-1,'03.Muestra'!$D$45)-1),G969)</f>
        <v>33.0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IF(COUNTIF('03.Muestra'!$D$8:$D$42,"Página Web")=0,0,COUNTBLANK($D969:INDIRECT("$D" &amp;  SUM(ROW()-1,COUNTIF('03.Muestra'!$D$8:$D$42,"Página Web"))-1)))</f>
        <v>0.0</v>
      </c>
      <c r="L970" s="19"/>
      <c r="M970" s="19"/>
      <c r="N970" s="19"/>
      <c r="O970" s="19"/>
      <c r="P970" s="19"/>
      <c r="Q970" s="19"/>
      <c r="R970" s="19"/>
      <c r="S970" s="19"/>
      <c r="T970" s="19"/>
      <c r="U970" s="19"/>
      <c r="V970" s="19"/>
      <c r="W970" s="19"/>
      <c r="X970" s="19"/>
      <c r="Y970" s="19"/>
    </row>
    <row r="971" spans="1:25" ht="12" customHeight="1">
      <c r="A971" s="219" t="n" cm="1">
        <f t="array" ref="A971">IFERROR(INDEX('03.Muestra'!$B$8:$B$42,SMALL(IF("Página Web"='03.Muestra'!$D$8:$D$42,ROW('03.Muestra'!$B$8:$B$42)-MIN(ROW('03.Muestra'!$D$8:$D$42))+1,""),ROW()-968)),"")</f>
        <v>1.0</v>
      </c>
      <c r="B971" s="114" t="str" cm="1">
        <f t="array" ref="B971">IFERROR(INDEX('03.Muestra'!$C$8:$C$42,SMALL(IF("Página Web"='03.Muestra'!$D$8:$D$42,ROW('03.Muestra'!$C$8:$C$42)-MIN(ROW('03.Muestra'!$D$8:$D$42))+1,""),ROW()-968)),"")</f>
        <v>Home - PortCastelló</v>
      </c>
      <c r="C971" s="114" t="str" cm="1">
        <f t="array" ref="C971">IFERROR(INDEX('03.Muestra'!$F$8:$F$42,SMALL(IF("Página Web"='03.Muestra'!$D$8:$D$42,ROW('03.Muestra'!$F$8:$F$42)-MIN(ROW('03.Muestra'!$D$8:$D$42))+1,""),ROW()-968)),"")</f>
        <v>https://www.portcastello.com/</v>
      </c>
      <c r="D971" s="130" t="s">
        <v>37</v>
      </c>
      <c r="E971" s="107" t="str">
        <f t="shared" si="50"/>
        <v/>
      </c>
      <c r="K971" s="233"/>
      <c r="L971" s="19"/>
      <c r="M971" s="19"/>
      <c r="N971" s="19"/>
      <c r="O971" s="19"/>
      <c r="P971" s="19"/>
      <c r="Q971" s="19"/>
      <c r="R971" s="19"/>
      <c r="S971" s="19"/>
      <c r="T971" s="19"/>
      <c r="U971" s="19"/>
      <c r="V971" s="19"/>
      <c r="W971" s="19"/>
      <c r="X971" s="19"/>
      <c r="Y971" s="19"/>
    </row>
    <row r="972" spans="1:25" ht="12" customHeight="1">
      <c r="A972" s="219" t="n" cm="1">
        <f t="array" ref="A972">IFERROR(INDEX('03.Muestra'!$B$8:$B$42,SMALL(IF("Página Web"='03.Muestra'!$D$8:$D$42,ROW('03.Muestra'!$B$8:$B$42)-MIN(ROW('03.Muestra'!$D$8:$D$42))+1,""),ROW()-968)),"")</f>
        <v>1.0</v>
      </c>
      <c r="B972" s="114" t="str" cm="1">
        <f t="array" ref="B972">IFERROR(INDEX('03.Muestra'!$C$8:$C$42,SMALL(IF("Página Web"='03.Muestra'!$D$8:$D$42,ROW('03.Muestra'!$C$8:$C$42)-MIN(ROW('03.Muestra'!$D$8:$D$42))+1,""),ROW()-968)),"")</f>
        <v>Home - PortCastelló</v>
      </c>
      <c r="C972" s="114" t="str" cm="1">
        <f t="array" ref="C972">IFERROR(INDEX('03.Muestra'!$F$8:$F$42,SMALL(IF("Página Web"='03.Muestra'!$D$8:$D$42,ROW('03.Muestra'!$F$8:$F$42)-MIN(ROW('03.Muestra'!$D$8:$D$42))+1,""),ROW()-968)),"")</f>
        <v>https://www.portcastello.com/</v>
      </c>
      <c r="D972" s="130" t="s">
        <v>37</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t="n" cm="1">
        <f t="array" ref="A973">IFERROR(INDEX('03.Muestra'!$B$8:$B$42,SMALL(IF("Página Web"='03.Muestra'!$D$8:$D$42,ROW('03.Muestra'!$B$8:$B$42)-MIN(ROW('03.Muestra'!$D$8:$D$42))+1,""),ROW()-968)),"")</f>
        <v>1.0</v>
      </c>
      <c r="B973" s="114" t="str" cm="1">
        <f t="array" ref="B973">IFERROR(INDEX('03.Muestra'!$C$8:$C$42,SMALL(IF("Página Web"='03.Muestra'!$D$8:$D$42,ROW('03.Muestra'!$C$8:$C$42)-MIN(ROW('03.Muestra'!$D$8:$D$42))+1,""),ROW()-968)),"")</f>
        <v>Home - PortCastelló</v>
      </c>
      <c r="C973" s="114" t="str" cm="1">
        <f t="array" ref="C973">IFERROR(INDEX('03.Muestra'!$F$8:$F$42,SMALL(IF("Página Web"='03.Muestra'!$D$8:$D$42,ROW('03.Muestra'!$F$8:$F$42)-MIN(ROW('03.Muestra'!$D$8:$D$42))+1,""),ROW()-968)),"")</f>
        <v>https://www.portcastello.com/</v>
      </c>
      <c r="D973" s="130" t="s">
        <v>37</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t="n" cm="1">
        <f t="array" ref="A974">IFERROR(INDEX('03.Muestra'!$B$8:$B$42,SMALL(IF("Página Web"='03.Muestra'!$D$8:$D$42,ROW('03.Muestra'!$B$8:$B$42)-MIN(ROW('03.Muestra'!$D$8:$D$42))+1,""),ROW()-968)),"")</f>
        <v>1.0</v>
      </c>
      <c r="B974" s="114" t="str" cm="1">
        <f t="array" ref="B974">IFERROR(INDEX('03.Muestra'!$C$8:$C$42,SMALL(IF("Página Web"='03.Muestra'!$D$8:$D$42,ROW('03.Muestra'!$C$8:$C$42)-MIN(ROW('03.Muestra'!$D$8:$D$42))+1,""),ROW()-968)),"")</f>
        <v>Home - PortCastelló</v>
      </c>
      <c r="C974" s="114" t="str" cm="1">
        <f t="array" ref="C974">IFERROR(INDEX('03.Muestra'!$F$8:$F$42,SMALL(IF("Página Web"='03.Muestra'!$D$8:$D$42,ROW('03.Muestra'!$F$8:$F$42)-MIN(ROW('03.Muestra'!$D$8:$D$42))+1,""),ROW()-968)),"")</f>
        <v>https://www.portcastello.com/</v>
      </c>
      <c r="D974" s="130" t="s">
        <v>37</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t="n" cm="1">
        <f t="array" ref="A975">IFERROR(INDEX('03.Muestra'!$B$8:$B$42,SMALL(IF("Página Web"='03.Muestra'!$D$8:$D$42,ROW('03.Muestra'!$B$8:$B$42)-MIN(ROW('03.Muestra'!$D$8:$D$42))+1,""),ROW()-968)),"")</f>
        <v>1.0</v>
      </c>
      <c r="B975" s="114" t="str" cm="1">
        <f t="array" ref="B975">IFERROR(INDEX('03.Muestra'!$C$8:$C$42,SMALL(IF("Página Web"='03.Muestra'!$D$8:$D$42,ROW('03.Muestra'!$C$8:$C$42)-MIN(ROW('03.Muestra'!$D$8:$D$42))+1,""),ROW()-968)),"")</f>
        <v>Home - PortCastelló</v>
      </c>
      <c r="C975" s="114" t="str" cm="1">
        <f t="array" ref="C975">IFERROR(INDEX('03.Muestra'!$F$8:$F$42,SMALL(IF("Página Web"='03.Muestra'!$D$8:$D$42,ROW('03.Muestra'!$F$8:$F$42)-MIN(ROW('03.Muestra'!$D$8:$D$42))+1,""),ROW()-968)),"")</f>
        <v>https://www.portcastello.com/</v>
      </c>
      <c r="D975" s="130" t="s">
        <v>37</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t="n" cm="1">
        <f t="array" ref="A976">IFERROR(INDEX('03.Muestra'!$B$8:$B$42,SMALL(IF("Página Web"='03.Muestra'!$D$8:$D$42,ROW('03.Muestra'!$B$8:$B$42)-MIN(ROW('03.Muestra'!$D$8:$D$42))+1,""),ROW()-968)),"")</f>
        <v>1.0</v>
      </c>
      <c r="B976" s="114" t="str" cm="1">
        <f t="array" ref="B976">IFERROR(INDEX('03.Muestra'!$C$8:$C$42,SMALL(IF("Página Web"='03.Muestra'!$D$8:$D$42,ROW('03.Muestra'!$C$8:$C$42)-MIN(ROW('03.Muestra'!$D$8:$D$42))+1,""),ROW()-968)),"")</f>
        <v>Home - PortCastelló</v>
      </c>
      <c r="C976" s="114" t="str" cm="1">
        <f t="array" ref="C976">IFERROR(INDEX('03.Muestra'!$F$8:$F$42,SMALL(IF("Página Web"='03.Muestra'!$D$8:$D$42,ROW('03.Muestra'!$F$8:$F$42)-MIN(ROW('03.Muestra'!$D$8:$D$42))+1,""),ROW()-968)),"")</f>
        <v>https://www.portcastello.com/</v>
      </c>
      <c r="D976" s="130" t="s">
        <v>37</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n" cm="1">
        <f t="array" ref="A977">IFERROR(INDEX('03.Muestra'!$B$8:$B$42,SMALL(IF("Página Web"='03.Muestra'!$D$8:$D$42,ROW('03.Muestra'!$B$8:$B$42)-MIN(ROW('03.Muestra'!$D$8:$D$42))+1,""),ROW()-968)),"")</f>
        <v>1.0</v>
      </c>
      <c r="B977" s="114" t="str" cm="1">
        <f t="array" ref="B977">IFERROR(INDEX('03.Muestra'!$C$8:$C$42,SMALL(IF("Página Web"='03.Muestra'!$D$8:$D$42,ROW('03.Muestra'!$C$8:$C$42)-MIN(ROW('03.Muestra'!$D$8:$D$42))+1,""),ROW()-968)),"")</f>
        <v>Home - PortCastelló</v>
      </c>
      <c r="C977" s="114" t="str" cm="1">
        <f t="array" ref="C977">IFERROR(INDEX('03.Muestra'!$F$8:$F$42,SMALL(IF("Página Web"='03.Muestra'!$D$8:$D$42,ROW('03.Muestra'!$F$8:$F$42)-MIN(ROW('03.Muestra'!$D$8:$D$42))+1,""),ROW()-968)),"")</f>
        <v>https://www.portcastello.com/</v>
      </c>
      <c r="D977" s="130" t="s">
        <v>37</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n" cm="1">
        <f t="array" ref="A978">IFERROR(INDEX('03.Muestra'!$B$8:$B$42,SMALL(IF("Página Web"='03.Muestra'!$D$8:$D$42,ROW('03.Muestra'!$B$8:$B$42)-MIN(ROW('03.Muestra'!$D$8:$D$42))+1,""),ROW()-968)),"")</f>
        <v>1.0</v>
      </c>
      <c r="B978" s="114" t="str" cm="1">
        <f t="array" ref="B978">IFERROR(INDEX('03.Muestra'!$C$8:$C$42,SMALL(IF("Página Web"='03.Muestra'!$D$8:$D$42,ROW('03.Muestra'!$C$8:$C$42)-MIN(ROW('03.Muestra'!$D$8:$D$42))+1,""),ROW()-968)),"")</f>
        <v>Home - PortCastelló</v>
      </c>
      <c r="C978" s="114" t="str" cm="1">
        <f t="array" ref="C978">IFERROR(INDEX('03.Muestra'!$F$8:$F$42,SMALL(IF("Página Web"='03.Muestra'!$D$8:$D$42,ROW('03.Muestra'!$F$8:$F$42)-MIN(ROW('03.Muestra'!$D$8:$D$42))+1,""),ROW()-968)),"")</f>
        <v>https://www.portcastello.com/</v>
      </c>
      <c r="D978" s="130" t="s">
        <v>37</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n" cm="1">
        <f t="array" ref="A979">IFERROR(INDEX('03.Muestra'!$B$8:$B$42,SMALL(IF("Página Web"='03.Muestra'!$D$8:$D$42,ROW('03.Muestra'!$B$8:$B$42)-MIN(ROW('03.Muestra'!$D$8:$D$42))+1,""),ROW()-968)),"")</f>
        <v>1.0</v>
      </c>
      <c r="B979" s="114" t="str" cm="1">
        <f t="array" ref="B979">IFERROR(INDEX('03.Muestra'!$C$8:$C$42,SMALL(IF("Página Web"='03.Muestra'!$D$8:$D$42,ROW('03.Muestra'!$C$8:$C$42)-MIN(ROW('03.Muestra'!$D$8:$D$42))+1,""),ROW()-968)),"")</f>
        <v>Home - PortCastelló</v>
      </c>
      <c r="C979" s="114" t="str" cm="1">
        <f t="array" ref="C979">IFERROR(INDEX('03.Muestra'!$F$8:$F$42,SMALL(IF("Página Web"='03.Muestra'!$D$8:$D$42,ROW('03.Muestra'!$F$8:$F$42)-MIN(ROW('03.Muestra'!$D$8:$D$42))+1,""),ROW()-968)),"")</f>
        <v>https://www.portcastello.com/</v>
      </c>
      <c r="D979" s="130" t="s">
        <v>37</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n" cm="1">
        <f t="array" ref="A980">IFERROR(INDEX('03.Muestra'!$B$8:$B$42,SMALL(IF("Página Web"='03.Muestra'!$D$8:$D$42,ROW('03.Muestra'!$B$8:$B$42)-MIN(ROW('03.Muestra'!$D$8:$D$42))+1,""),ROW()-968)),"")</f>
        <v>1.0</v>
      </c>
      <c r="B980" s="114" t="str" cm="1">
        <f t="array" ref="B980">IFERROR(INDEX('03.Muestra'!$C$8:$C$42,SMALL(IF("Página Web"='03.Muestra'!$D$8:$D$42,ROW('03.Muestra'!$C$8:$C$42)-MIN(ROW('03.Muestra'!$D$8:$D$42))+1,""),ROW()-968)),"")</f>
        <v>Home - PortCastelló</v>
      </c>
      <c r="C980" s="114" t="str" cm="1">
        <f t="array" ref="C980">IFERROR(INDEX('03.Muestra'!$F$8:$F$42,SMALL(IF("Página Web"='03.Muestra'!$D$8:$D$42,ROW('03.Muestra'!$F$8:$F$42)-MIN(ROW('03.Muestra'!$D$8:$D$42))+1,""),ROW()-968)),"")</f>
        <v>https://www.portcastello.com/</v>
      </c>
      <c r="D980" s="130" t="s">
        <v>37</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n" cm="1">
        <f t="array" ref="A981">IFERROR(INDEX('03.Muestra'!$B$8:$B$42,SMALL(IF("Página Web"='03.Muestra'!$D$8:$D$42,ROW('03.Muestra'!$B$8:$B$42)-MIN(ROW('03.Muestra'!$D$8:$D$42))+1,""),ROW()-968)),"")</f>
        <v>1.0</v>
      </c>
      <c r="B981" s="114" t="str" cm="1">
        <f t="array" ref="B981">IFERROR(INDEX('03.Muestra'!$C$8:$C$42,SMALL(IF("Página Web"='03.Muestra'!$D$8:$D$42,ROW('03.Muestra'!$C$8:$C$42)-MIN(ROW('03.Muestra'!$D$8:$D$42))+1,""),ROW()-968)),"")</f>
        <v>Home - PortCastelló</v>
      </c>
      <c r="C981" s="114" t="str" cm="1">
        <f t="array" ref="C981">IFERROR(INDEX('03.Muestra'!$F$8:$F$42,SMALL(IF("Página Web"='03.Muestra'!$D$8:$D$42,ROW('03.Muestra'!$F$8:$F$42)-MIN(ROW('03.Muestra'!$D$8:$D$42))+1,""),ROW()-968)),"")</f>
        <v>https://www.portcastello.com/</v>
      </c>
      <c r="D981" s="130" t="s">
        <v>37</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n" cm="1">
        <f t="array" ref="A982">IFERROR(INDEX('03.Muestra'!$B$8:$B$42,SMALL(IF("Página Web"='03.Muestra'!$D$8:$D$42,ROW('03.Muestra'!$B$8:$B$42)-MIN(ROW('03.Muestra'!$D$8:$D$42))+1,""),ROW()-968)),"")</f>
        <v>1.0</v>
      </c>
      <c r="B982" s="114" t="str" cm="1">
        <f t="array" ref="B982">IFERROR(INDEX('03.Muestra'!$C$8:$C$42,SMALL(IF("Página Web"='03.Muestra'!$D$8:$D$42,ROW('03.Muestra'!$C$8:$C$42)-MIN(ROW('03.Muestra'!$D$8:$D$42))+1,""),ROW()-968)),"")</f>
        <v>Home - PortCastelló</v>
      </c>
      <c r="C982" s="114" t="str" cm="1">
        <f t="array" ref="C982">IFERROR(INDEX('03.Muestra'!$F$8:$F$42,SMALL(IF("Página Web"='03.Muestra'!$D$8:$D$42,ROW('03.Muestra'!$F$8:$F$42)-MIN(ROW('03.Muestra'!$D$8:$D$42))+1,""),ROW()-968)),"")</f>
        <v>https://www.portcastello.com/</v>
      </c>
      <c r="D982" s="130" t="s">
        <v>37</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n" cm="1">
        <f t="array" ref="A983">IFERROR(INDEX('03.Muestra'!$B$8:$B$42,SMALL(IF("Página Web"='03.Muestra'!$D$8:$D$42,ROW('03.Muestra'!$B$8:$B$42)-MIN(ROW('03.Muestra'!$D$8:$D$42))+1,""),ROW()-968)),"")</f>
        <v>1.0</v>
      </c>
      <c r="B983" s="114" t="str" cm="1">
        <f t="array" ref="B983">IFERROR(INDEX('03.Muestra'!$C$8:$C$42,SMALL(IF("Página Web"='03.Muestra'!$D$8:$D$42,ROW('03.Muestra'!$C$8:$C$42)-MIN(ROW('03.Muestra'!$D$8:$D$42))+1,""),ROW()-968)),"")</f>
        <v>Home - PortCastelló</v>
      </c>
      <c r="C983" s="114" t="str" cm="1">
        <f t="array" ref="C983">IFERROR(INDEX('03.Muestra'!$F$8:$F$42,SMALL(IF("Página Web"='03.Muestra'!$D$8:$D$42,ROW('03.Muestra'!$F$8:$F$42)-MIN(ROW('03.Muestra'!$D$8:$D$42))+1,""),ROW()-968)),"")</f>
        <v>https://www.portcastello.com/</v>
      </c>
      <c r="D983" s="130" t="s">
        <v>37</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n" cm="1">
        <f t="array" ref="A984">IFERROR(INDEX('03.Muestra'!$B$8:$B$42,SMALL(IF("Página Web"='03.Muestra'!$D$8:$D$42,ROW('03.Muestra'!$B$8:$B$42)-MIN(ROW('03.Muestra'!$D$8:$D$42))+1,""),ROW()-968)),"")</f>
        <v>1.0</v>
      </c>
      <c r="B984" s="114" t="str" cm="1">
        <f t="array" ref="B984">IFERROR(INDEX('03.Muestra'!$C$8:$C$42,SMALL(IF("Página Web"='03.Muestra'!$D$8:$D$42,ROW('03.Muestra'!$C$8:$C$42)-MIN(ROW('03.Muestra'!$D$8:$D$42))+1,""),ROW()-968)),"")</f>
        <v>Home - PortCastelló</v>
      </c>
      <c r="C984" s="114" t="str" cm="1">
        <f t="array" ref="C984">IFERROR(INDEX('03.Muestra'!$F$8:$F$42,SMALL(IF("Página Web"='03.Muestra'!$D$8:$D$42,ROW('03.Muestra'!$F$8:$F$42)-MIN(ROW('03.Muestra'!$D$8:$D$42))+1,""),ROW()-968)),"")</f>
        <v>https://www.portcastello.com/</v>
      </c>
      <c r="D984" s="130" t="s">
        <v>37</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n" cm="1">
        <f t="array" ref="A985">IFERROR(INDEX('03.Muestra'!$B$8:$B$42,SMALL(IF("Página Web"='03.Muestra'!$D$8:$D$42,ROW('03.Muestra'!$B$8:$B$42)-MIN(ROW('03.Muestra'!$D$8:$D$42))+1,""),ROW()-968)),"")</f>
        <v>1.0</v>
      </c>
      <c r="B985" s="114" t="str" cm="1">
        <f t="array" ref="B985">IFERROR(INDEX('03.Muestra'!$C$8:$C$42,SMALL(IF("Página Web"='03.Muestra'!$D$8:$D$42,ROW('03.Muestra'!$C$8:$C$42)-MIN(ROW('03.Muestra'!$D$8:$D$42))+1,""),ROW()-968)),"")</f>
        <v>Home - PortCastelló</v>
      </c>
      <c r="C985" s="114" t="str" cm="1">
        <f t="array" ref="C985">IFERROR(INDEX('03.Muestra'!$F$8:$F$42,SMALL(IF("Página Web"='03.Muestra'!$D$8:$D$42,ROW('03.Muestra'!$F$8:$F$42)-MIN(ROW('03.Muestra'!$D$8:$D$42))+1,""),ROW()-968)),"")</f>
        <v>https://www.portcastello.com/</v>
      </c>
      <c r="D985" s="130" t="s">
        <v>37</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n" cm="1">
        <f t="array" ref="A986">IFERROR(INDEX('03.Muestra'!$B$8:$B$42,SMALL(IF("Página Web"='03.Muestra'!$D$8:$D$42,ROW('03.Muestra'!$B$8:$B$42)-MIN(ROW('03.Muestra'!$D$8:$D$42))+1,""),ROW()-968)),"")</f>
        <v>1.0</v>
      </c>
      <c r="B986" s="114" t="str" cm="1">
        <f t="array" ref="B986">IFERROR(INDEX('03.Muestra'!$C$8:$C$42,SMALL(IF("Página Web"='03.Muestra'!$D$8:$D$42,ROW('03.Muestra'!$C$8:$C$42)-MIN(ROW('03.Muestra'!$D$8:$D$42))+1,""),ROW()-968)),"")</f>
        <v>Home - PortCastelló</v>
      </c>
      <c r="C986" s="114" t="str" cm="1">
        <f t="array" ref="C986">IFERROR(INDEX('03.Muestra'!$F$8:$F$42,SMALL(IF("Página Web"='03.Muestra'!$D$8:$D$42,ROW('03.Muestra'!$F$8:$F$42)-MIN(ROW('03.Muestra'!$D$8:$D$42))+1,""),ROW()-968)),"")</f>
        <v>https://www.portcastello.com/</v>
      </c>
      <c r="D986" s="130" t="s">
        <v>37</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n" cm="1">
        <f t="array" ref="A987">IFERROR(INDEX('03.Muestra'!$B$8:$B$42,SMALL(IF("Página Web"='03.Muestra'!$D$8:$D$42,ROW('03.Muestra'!$B$8:$B$42)-MIN(ROW('03.Muestra'!$D$8:$D$42))+1,""),ROW()-968)),"")</f>
        <v>1.0</v>
      </c>
      <c r="B987" s="114" t="str" cm="1">
        <f t="array" ref="B987">IFERROR(INDEX('03.Muestra'!$C$8:$C$42,SMALL(IF("Página Web"='03.Muestra'!$D$8:$D$42,ROW('03.Muestra'!$C$8:$C$42)-MIN(ROW('03.Muestra'!$D$8:$D$42))+1,""),ROW()-968)),"")</f>
        <v>Home - PortCastelló</v>
      </c>
      <c r="C987" s="114" t="str" cm="1">
        <f t="array" ref="C987">IFERROR(INDEX('03.Muestra'!$F$8:$F$42,SMALL(IF("Página Web"='03.Muestra'!$D$8:$D$42,ROW('03.Muestra'!$F$8:$F$42)-MIN(ROW('03.Muestra'!$D$8:$D$42))+1,""),ROW()-968)),"")</f>
        <v>https://www.portcastello.com/</v>
      </c>
      <c r="D987" s="130" t="s">
        <v>37</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n" cm="1">
        <f t="array" ref="A988">IFERROR(INDEX('03.Muestra'!$B$8:$B$42,SMALL(IF("Página Web"='03.Muestra'!$D$8:$D$42,ROW('03.Muestra'!$B$8:$B$42)-MIN(ROW('03.Muestra'!$D$8:$D$42))+1,""),ROW()-968)),"")</f>
        <v>1.0</v>
      </c>
      <c r="B988" s="114" t="str" cm="1">
        <f t="array" ref="B988">IFERROR(INDEX('03.Muestra'!$C$8:$C$42,SMALL(IF("Página Web"='03.Muestra'!$D$8:$D$42,ROW('03.Muestra'!$C$8:$C$42)-MIN(ROW('03.Muestra'!$D$8:$D$42))+1,""),ROW()-968)),"")</f>
        <v>Home - PortCastelló</v>
      </c>
      <c r="C988" s="114" t="str" cm="1">
        <f t="array" ref="C988">IFERROR(INDEX('03.Muestra'!$F$8:$F$42,SMALL(IF("Página Web"='03.Muestra'!$D$8:$D$42,ROW('03.Muestra'!$F$8:$F$42)-MIN(ROW('03.Muestra'!$D$8:$D$42))+1,""),ROW()-968)),"")</f>
        <v>https://www.portcastello.com/</v>
      </c>
      <c r="D988" s="130" t="s">
        <v>37</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n" cm="1">
        <f t="array" ref="A989">IFERROR(INDEX('03.Muestra'!$B$8:$B$42,SMALL(IF("Página Web"='03.Muestra'!$D$8:$D$42,ROW('03.Muestra'!$B$8:$B$42)-MIN(ROW('03.Muestra'!$D$8:$D$42))+1,""),ROW()-968)),"")</f>
        <v>1.0</v>
      </c>
      <c r="B989" s="114" t="str" cm="1">
        <f t="array" ref="B989">IFERROR(INDEX('03.Muestra'!$C$8:$C$42,SMALL(IF("Página Web"='03.Muestra'!$D$8:$D$42,ROW('03.Muestra'!$C$8:$C$42)-MIN(ROW('03.Muestra'!$D$8:$D$42))+1,""),ROW()-968)),"")</f>
        <v>Home - PortCastelló</v>
      </c>
      <c r="C989" s="114" t="str" cm="1">
        <f t="array" ref="C989">IFERROR(INDEX('03.Muestra'!$F$8:$F$42,SMALL(IF("Página Web"='03.Muestra'!$D$8:$D$42,ROW('03.Muestra'!$F$8:$F$42)-MIN(ROW('03.Muestra'!$D$8:$D$42))+1,""),ROW()-968)),"")</f>
        <v>https://www.portcastello.com/</v>
      </c>
      <c r="D989" s="130" t="s">
        <v>37</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n" cm="1">
        <f t="array" ref="A990">IFERROR(INDEX('03.Muestra'!$B$8:$B$42,SMALL(IF("Página Web"='03.Muestra'!$D$8:$D$42,ROW('03.Muestra'!$B$8:$B$42)-MIN(ROW('03.Muestra'!$D$8:$D$42))+1,""),ROW()-968)),"")</f>
        <v>1.0</v>
      </c>
      <c r="B990" s="114" t="str" cm="1">
        <f t="array" ref="B990">IFERROR(INDEX('03.Muestra'!$C$8:$C$42,SMALL(IF("Página Web"='03.Muestra'!$D$8:$D$42,ROW('03.Muestra'!$C$8:$C$42)-MIN(ROW('03.Muestra'!$D$8:$D$42))+1,""),ROW()-968)),"")</f>
        <v>Home - PortCastelló</v>
      </c>
      <c r="C990" s="114" t="str" cm="1">
        <f t="array" ref="C990">IFERROR(INDEX('03.Muestra'!$F$8:$F$42,SMALL(IF("Página Web"='03.Muestra'!$D$8:$D$42,ROW('03.Muestra'!$F$8:$F$42)-MIN(ROW('03.Muestra'!$D$8:$D$42))+1,""),ROW()-968)),"")</f>
        <v>https://www.portcastello.com/</v>
      </c>
      <c r="D990" s="130" t="s">
        <v>37</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n" cm="1">
        <f t="array" ref="A991">IFERROR(INDEX('03.Muestra'!$B$8:$B$42,SMALL(IF("Página Web"='03.Muestra'!$D$8:$D$42,ROW('03.Muestra'!$B$8:$B$42)-MIN(ROW('03.Muestra'!$D$8:$D$42))+1,""),ROW()-968)),"")</f>
        <v>1.0</v>
      </c>
      <c r="B991" s="114" t="str" cm="1">
        <f t="array" ref="B991">IFERROR(INDEX('03.Muestra'!$C$8:$C$42,SMALL(IF("Página Web"='03.Muestra'!$D$8:$D$42,ROW('03.Muestra'!$C$8:$C$42)-MIN(ROW('03.Muestra'!$D$8:$D$42))+1,""),ROW()-968)),"")</f>
        <v>Home - PortCastelló</v>
      </c>
      <c r="C991" s="114" t="str" cm="1">
        <f t="array" ref="C991">IFERROR(INDEX('03.Muestra'!$F$8:$F$42,SMALL(IF("Página Web"='03.Muestra'!$D$8:$D$42,ROW('03.Muestra'!$F$8:$F$42)-MIN(ROW('03.Muestra'!$D$8:$D$42))+1,""),ROW()-968)),"")</f>
        <v>https://www.portcastello.com/</v>
      </c>
      <c r="D991" s="130" t="s">
        <v>37</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n" cm="1">
        <f t="array" ref="A992">IFERROR(INDEX('03.Muestra'!$B$8:$B$42,SMALL(IF("Página Web"='03.Muestra'!$D$8:$D$42,ROW('03.Muestra'!$B$8:$B$42)-MIN(ROW('03.Muestra'!$D$8:$D$42))+1,""),ROW()-968)),"")</f>
        <v>1.0</v>
      </c>
      <c r="B992" s="114" t="str" cm="1">
        <f t="array" ref="B992">IFERROR(INDEX('03.Muestra'!$C$8:$C$42,SMALL(IF("Página Web"='03.Muestra'!$D$8:$D$42,ROW('03.Muestra'!$C$8:$C$42)-MIN(ROW('03.Muestra'!$D$8:$D$42))+1,""),ROW()-968)),"")</f>
        <v>Home - PortCastelló</v>
      </c>
      <c r="C992" s="114" t="str" cm="1">
        <f t="array" ref="C992">IFERROR(INDEX('03.Muestra'!$F$8:$F$42,SMALL(IF("Página Web"='03.Muestra'!$D$8:$D$42,ROW('03.Muestra'!$F$8:$F$42)-MIN(ROW('03.Muestra'!$D$8:$D$42))+1,""),ROW()-968)),"")</f>
        <v>https://www.portcastello.com/</v>
      </c>
      <c r="D992" s="130" t="s">
        <v>37</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n" cm="1">
        <f t="array" ref="A993">IFERROR(INDEX('03.Muestra'!$B$8:$B$42,SMALL(IF("Página Web"='03.Muestra'!$D$8:$D$42,ROW('03.Muestra'!$B$8:$B$42)-MIN(ROW('03.Muestra'!$D$8:$D$42))+1,""),ROW()-968)),"")</f>
        <v>1.0</v>
      </c>
      <c r="B993" s="114" t="str" cm="1">
        <f t="array" ref="B993">IFERROR(INDEX('03.Muestra'!$C$8:$C$42,SMALL(IF("Página Web"='03.Muestra'!$D$8:$D$42,ROW('03.Muestra'!$C$8:$C$42)-MIN(ROW('03.Muestra'!$D$8:$D$42))+1,""),ROW()-968)),"")</f>
        <v>Home - PortCastelló</v>
      </c>
      <c r="C993" s="114" t="str" cm="1">
        <f t="array" ref="C993">IFERROR(INDEX('03.Muestra'!$F$8:$F$42,SMALL(IF("Página Web"='03.Muestra'!$D$8:$D$42,ROW('03.Muestra'!$F$8:$F$42)-MIN(ROW('03.Muestra'!$D$8:$D$42))+1,""),ROW()-968)),"")</f>
        <v>https://www.portcastello.com/</v>
      </c>
      <c r="D993" s="130" t="s">
        <v>37</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n" cm="1">
        <f t="array" ref="A994">IFERROR(INDEX('03.Muestra'!$B$8:$B$42,SMALL(IF("Página Web"='03.Muestra'!$D$8:$D$42,ROW('03.Muestra'!$B$8:$B$42)-MIN(ROW('03.Muestra'!$D$8:$D$42))+1,""),ROW()-968)),"")</f>
        <v>1.0</v>
      </c>
      <c r="B994" s="114" t="str" cm="1">
        <f t="array" ref="B994">IFERROR(INDEX('03.Muestra'!$C$8:$C$42,SMALL(IF("Página Web"='03.Muestra'!$D$8:$D$42,ROW('03.Muestra'!$C$8:$C$42)-MIN(ROW('03.Muestra'!$D$8:$D$42))+1,""),ROW()-968)),"")</f>
        <v>Home - PortCastelló</v>
      </c>
      <c r="C994" s="114" t="str" cm="1">
        <f t="array" ref="C994">IFERROR(INDEX('03.Muestra'!$F$8:$F$42,SMALL(IF("Página Web"='03.Muestra'!$D$8:$D$42,ROW('03.Muestra'!$F$8:$F$42)-MIN(ROW('03.Muestra'!$D$8:$D$42))+1,""),ROW()-968)),"")</f>
        <v>https://www.portcastello.com/</v>
      </c>
      <c r="D994" s="130" t="s">
        <v>37</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n" cm="1">
        <f t="array" ref="A995">IFERROR(INDEX('03.Muestra'!$B$8:$B$42,SMALL(IF("Página Web"='03.Muestra'!$D$8:$D$42,ROW('03.Muestra'!$B$8:$B$42)-MIN(ROW('03.Muestra'!$D$8:$D$42))+1,""),ROW()-968)),"")</f>
        <v>1.0</v>
      </c>
      <c r="B995" s="114" t="str" cm="1">
        <f t="array" ref="B995">IFERROR(INDEX('03.Muestra'!$C$8:$C$42,SMALL(IF("Página Web"='03.Muestra'!$D$8:$D$42,ROW('03.Muestra'!$C$8:$C$42)-MIN(ROW('03.Muestra'!$D$8:$D$42))+1,""),ROW()-968)),"")</f>
        <v>Home - PortCastelló</v>
      </c>
      <c r="C995" s="114" t="str" cm="1">
        <f t="array" ref="C995">IFERROR(INDEX('03.Muestra'!$F$8:$F$42,SMALL(IF("Página Web"='03.Muestra'!$D$8:$D$42,ROW('03.Muestra'!$F$8:$F$42)-MIN(ROW('03.Muestra'!$D$8:$D$42))+1,""),ROW()-968)),"")</f>
        <v>https://www.portcastello.com/</v>
      </c>
      <c r="D995" s="130" t="s">
        <v>37</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n" cm="1">
        <f t="array" ref="A996">IFERROR(INDEX('03.Muestra'!$B$8:$B$42,SMALL(IF("Página Web"='03.Muestra'!$D$8:$D$42,ROW('03.Muestra'!$B$8:$B$42)-MIN(ROW('03.Muestra'!$D$8:$D$42))+1,""),ROW()-968)),"")</f>
        <v>1.0</v>
      </c>
      <c r="B996" s="114" t="str" cm="1">
        <f t="array" ref="B996">IFERROR(INDEX('03.Muestra'!$C$8:$C$42,SMALL(IF("Página Web"='03.Muestra'!$D$8:$D$42,ROW('03.Muestra'!$C$8:$C$42)-MIN(ROW('03.Muestra'!$D$8:$D$42))+1,""),ROW()-968)),"")</f>
        <v>Home - PortCastelló</v>
      </c>
      <c r="C996" s="114" t="str" cm="1">
        <f t="array" ref="C996">IFERROR(INDEX('03.Muestra'!$F$8:$F$42,SMALL(IF("Página Web"='03.Muestra'!$D$8:$D$42,ROW('03.Muestra'!$F$8:$F$42)-MIN(ROW('03.Muestra'!$D$8:$D$42))+1,""),ROW()-968)),"")</f>
        <v>https://www.portcastello.com/</v>
      </c>
      <c r="D996" s="130" t="s">
        <v>37</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n" cm="1">
        <f t="array" ref="A997">IFERROR(INDEX('03.Muestra'!$B$8:$B$42,SMALL(IF("Página Web"='03.Muestra'!$D$8:$D$42,ROW('03.Muestra'!$B$8:$B$42)-MIN(ROW('03.Muestra'!$D$8:$D$42))+1,""),ROW()-968)),"")</f>
        <v>1.0</v>
      </c>
      <c r="B997" s="114" t="str" cm="1">
        <f t="array" ref="B997">IFERROR(INDEX('03.Muestra'!$C$8:$C$42,SMALL(IF("Página Web"='03.Muestra'!$D$8:$D$42,ROW('03.Muestra'!$C$8:$C$42)-MIN(ROW('03.Muestra'!$D$8:$D$42))+1,""),ROW()-968)),"")</f>
        <v>Home - PortCastelló</v>
      </c>
      <c r="C997" s="114" t="str" cm="1">
        <f t="array" ref="C997">IFERROR(INDEX('03.Muestra'!$F$8:$F$42,SMALL(IF("Página Web"='03.Muestra'!$D$8:$D$42,ROW('03.Muestra'!$F$8:$F$42)-MIN(ROW('03.Muestra'!$D$8:$D$42))+1,""),ROW()-968)),"")</f>
        <v>https://www.portcastello.com/</v>
      </c>
      <c r="D997" s="130" t="s">
        <v>37</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n" cm="1">
        <f t="array" ref="A998">IFERROR(INDEX('03.Muestra'!$B$8:$B$42,SMALL(IF("Página Web"='03.Muestra'!$D$8:$D$42,ROW('03.Muestra'!$B$8:$B$42)-MIN(ROW('03.Muestra'!$D$8:$D$42))+1,""),ROW()-968)),"")</f>
        <v>1.0</v>
      </c>
      <c r="B998" s="114" t="str" cm="1">
        <f t="array" ref="B998">IFERROR(INDEX('03.Muestra'!$C$8:$C$42,SMALL(IF("Página Web"='03.Muestra'!$D$8:$D$42,ROW('03.Muestra'!$C$8:$C$42)-MIN(ROW('03.Muestra'!$D$8:$D$42))+1,""),ROW()-968)),"")</f>
        <v>Home - PortCastelló</v>
      </c>
      <c r="C998" s="114" t="str" cm="1">
        <f t="array" ref="C998">IFERROR(INDEX('03.Muestra'!$F$8:$F$42,SMALL(IF("Página Web"='03.Muestra'!$D$8:$D$42,ROW('03.Muestra'!$F$8:$F$42)-MIN(ROW('03.Muestra'!$D$8:$D$42))+1,""),ROW()-968)),"")</f>
        <v>https://www.portcastello.com/</v>
      </c>
      <c r="D998" s="130" t="s">
        <v>37</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n" cm="1">
        <f t="array" ref="A999">IFERROR(INDEX('03.Muestra'!$B$8:$B$42,SMALL(IF("Página Web"='03.Muestra'!$D$8:$D$42,ROW('03.Muestra'!$B$8:$B$42)-MIN(ROW('03.Muestra'!$D$8:$D$42))+1,""),ROW()-968)),"")</f>
        <v>1.0</v>
      </c>
      <c r="B999" s="114" t="str" cm="1">
        <f t="array" ref="B999">IFERROR(INDEX('03.Muestra'!$C$8:$C$42,SMALL(IF("Página Web"='03.Muestra'!$D$8:$D$42,ROW('03.Muestra'!$C$8:$C$42)-MIN(ROW('03.Muestra'!$D$8:$D$42))+1,""),ROW()-968)),"")</f>
        <v>Home - PortCastelló</v>
      </c>
      <c r="C999" s="114" t="str" cm="1">
        <f t="array" ref="C999">IFERROR(INDEX('03.Muestra'!$F$8:$F$42,SMALL(IF("Página Web"='03.Muestra'!$D$8:$D$42,ROW('03.Muestra'!$F$8:$F$42)-MIN(ROW('03.Muestra'!$D$8:$D$42))+1,""),ROW()-968)),"")</f>
        <v>https://www.portcastello.com/</v>
      </c>
      <c r="D999" s="130" t="s">
        <v>37</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n" cm="1">
        <f t="array" ref="A1000">IFERROR(INDEX('03.Muestra'!$B$8:$B$42,SMALL(IF("Página Web"='03.Muestra'!$D$8:$D$42,ROW('03.Muestra'!$B$8:$B$42)-MIN(ROW('03.Muestra'!$D$8:$D$42))+1,""),ROW()-968)),"")</f>
        <v>1.0</v>
      </c>
      <c r="B1000" s="114" t="str" cm="1">
        <f t="array" ref="B1000">IFERROR(INDEX('03.Muestra'!$C$8:$C$42,SMALL(IF("Página Web"='03.Muestra'!$D$8:$D$42,ROW('03.Muestra'!$C$8:$C$42)-MIN(ROW('03.Muestra'!$D$8:$D$42))+1,""),ROW()-968)),"")</f>
        <v>Home - PortCastelló</v>
      </c>
      <c r="C1000" s="114" t="str" cm="1">
        <f t="array" ref="C1000">IFERROR(INDEX('03.Muestra'!$F$8:$F$42,SMALL(IF("Página Web"='03.Muestra'!$D$8:$D$42,ROW('03.Muestra'!$F$8:$F$42)-MIN(ROW('03.Muestra'!$D$8:$D$42))+1,""),ROW()-968)),"")</f>
        <v>https://www.portcastello.com/</v>
      </c>
      <c r="D1000" s="130" t="s">
        <v>37</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n" cm="1">
        <f t="array" ref="A1001">IFERROR(INDEX('03.Muestra'!$B$8:$B$42,SMALL(IF("Página Web"='03.Muestra'!$D$8:$D$42,ROW('03.Muestra'!$B$8:$B$42)-MIN(ROW('03.Muestra'!$D$8:$D$42))+1,""),ROW()-968)),"")</f>
        <v>1.0</v>
      </c>
      <c r="B1001" s="114" t="str" cm="1">
        <f t="array" ref="B1001">IFERROR(INDEX('03.Muestra'!$C$8:$C$42,SMALL(IF("Página Web"='03.Muestra'!$D$8:$D$42,ROW('03.Muestra'!$C$8:$C$42)-MIN(ROW('03.Muestra'!$D$8:$D$42))+1,""),ROW()-968)),"")</f>
        <v>Home - PortCastelló</v>
      </c>
      <c r="C1001" s="114" t="str" cm="1">
        <f t="array" ref="C1001">IFERROR(INDEX('03.Muestra'!$F$8:$F$42,SMALL(IF("Página Web"='03.Muestra'!$D$8:$D$42,ROW('03.Muestra'!$F$8:$F$42)-MIN(ROW('03.Muestra'!$D$8:$D$42))+1,""),ROW()-968)),"")</f>
        <v>https://www.portcastello.com/</v>
      </c>
      <c r="D1001" s="130" t="s">
        <v>37</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str" cm="1">
        <f t="array" ref="A1002">IFERROR(INDEX('03.Muestra'!$B$8:$B$42,SMALL(IF("Página Web"='03.Muestra'!$D$8:$D$42,ROW('03.Muestra'!$B$8:$B$42)-MIN(ROW('03.Muestra'!$D$8:$D$42))+1,""),ROW()-968)),"")</f>
        <v/>
      </c>
      <c r="B1002" s="114" t="str" cm="1">
        <f t="array" ref="B1002">IFERROR(INDEX('03.Muestra'!$C$8:$C$42,SMALL(IF("Página Web"='03.Muestra'!$D$8:$D$42,ROW('03.Muestra'!$C$8:$C$42)-MIN(ROW('03.Muestra'!$D$8:$D$42))+1,""),ROW()-968)),"")</f>
        <v/>
      </c>
      <c r="C1002" s="114" t="str" cm="1">
        <f t="array" ref="C1002">IFERROR(INDEX('03.Muestra'!$F$8:$F$42,SMALL(IF("Página Web"='03.Muestra'!$D$8:$D$42,ROW('03.Muestra'!$F$8:$F$42)-MIN(ROW('03.Muestra'!$D$8:$D$42))+1,""),ROW()-968)),"")</f>
        <v/>
      </c>
      <c r="D1002" s="130" t="str">
        <f t="shared" si="51" ref="D1002:D1003">IF(AND(B1002&lt;&gt;"",C1002&lt;&gt;""),"N/T","")</f>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268</v>
      </c>
      <c r="B1006" s="24" t="s">
        <v>90</v>
      </c>
      <c r="C1006" s="25" t="s">
        <v>399</v>
      </c>
      <c r="D1006" s="26" t="s">
        <v>32</v>
      </c>
      <c r="E1006" s="123"/>
      <c r="K1006" s="233"/>
      <c r="L1006" s="19"/>
      <c r="M1006" s="19"/>
      <c r="N1006" s="19"/>
      <c r="O1006" s="19"/>
      <c r="P1006" s="19"/>
      <c r="Q1006" s="19"/>
      <c r="R1006" s="19"/>
      <c r="S1006" s="19"/>
      <c r="T1006" s="19"/>
      <c r="U1006" s="19"/>
      <c r="V1006" s="19"/>
      <c r="W1006" s="19"/>
      <c r="X1006" s="19"/>
      <c r="Y1006" s="19"/>
    </row>
    <row r="1007" spans="1:25" ht="12" customHeight="1">
      <c r="A1007" s="219" t="n" cm="1">
        <f t="array" ref="A1007">IFERROR(INDEX('03.Muestra'!$B$8:$B$42,SMALL(IF("Página Web"='03.Muestra'!$D$8:$D$42,ROW('03.Muestra'!$B$8:$B$42)-MIN(ROW('03.Muestra'!$D$8:$D$42))+1,""),ROW()-1006)),"")</f>
        <v>1.0</v>
      </c>
      <c r="B1007" s="114" t="str" cm="1">
        <f t="array" ref="B1007">IFERROR(INDEX('03.Muestra'!$C$8:$C$42,SMALL(IF("Página Web"='03.Muestra'!$D$8:$D$42,ROW('03.Muestra'!$C$8:$C$42)-MIN(ROW('03.Muestra'!$D$8:$D$42))+1,""),ROW()-1006)),"")</f>
        <v>Home - PortCastelló</v>
      </c>
      <c r="C1007" s="114" t="str" cm="1">
        <f t="array" ref="C1007">IFERROR(INDEX('03.Muestra'!$F$8:$F$42,SMALL(IF("Página Web"='03.Muestra'!$D$8:$D$42,ROW('03.Muestra'!$F$8:$F$42)-MIN(ROW('03.Muestra'!$D$8:$D$42))+1,""),ROW()-1006)),"")</f>
        <v>https://www.portcastello.com/</v>
      </c>
      <c r="D1007" s="130" t="s">
        <v>37</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2" customHeight="1">
      <c r="A1008" s="219" t="n" cm="1">
        <f t="array" ref="A1008">IFERROR(INDEX('03.Muestra'!$B$8:$B$42,SMALL(IF("Página Web"='03.Muestra'!$D$8:$D$42,ROW('03.Muestra'!$B$8:$B$42)-MIN(ROW('03.Muestra'!$D$8:$D$42))+1,""),ROW()-1006)),"")</f>
        <v>1.0</v>
      </c>
      <c r="B1008" s="114" t="str" cm="1">
        <f t="array" ref="B1008">IFERROR(INDEX('03.Muestra'!$C$8:$C$42,SMALL(IF("Página Web"='03.Muestra'!$D$8:$D$42,ROW('03.Muestra'!$C$8:$C$42)-MIN(ROW('03.Muestra'!$D$8:$D$42))+1,""),ROW()-1006)),"")</f>
        <v>Home - PortCastelló</v>
      </c>
      <c r="C1008" s="114" t="str" cm="1">
        <f t="array" ref="C1008">IFERROR(INDEX('03.Muestra'!$F$8:$F$42,SMALL(IF("Página Web"='03.Muestra'!$D$8:$D$42,ROW('03.Muestra'!$F$8:$F$42)-MIN(ROW('03.Muestra'!$D$8:$D$42))+1,""),ROW()-1006)),"")</f>
        <v>https://www.portcastello.com/</v>
      </c>
      <c r="D1008" s="130" t="s">
        <v>37</v>
      </c>
      <c r="E1008" s="107" t="str">
        <f t="shared" si="52"/>
        <v/>
      </c>
      <c r="F1008" s="120" t="n">
        <f ca="1">COUNTIF($D1007:INDIRECT("$D" &amp;  SUM(ROW()-1,'03.Muestra'!$D$45)-1),F1007)</f>
        <v>0.0</v>
      </c>
      <c r="G1008" s="120" t="n">
        <f ca="1">COUNTIF($D1007:INDIRECT("$D" &amp;  SUM(ROW()-1,'03.Muestra'!$D$45)-1),G1007)</f>
        <v>33.0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IF(COUNTIF('03.Muestra'!$D$8:$D$42,"Página Web")=0,0,COUNTBLANK($D1007:INDIRECT("$D" &amp;  SUM(ROW()-1,COUNTIF('03.Muestra'!$D$8:$D$42,"Página Web"))-1)))</f>
        <v>0.0</v>
      </c>
      <c r="L1008" s="19"/>
      <c r="M1008" s="19"/>
      <c r="N1008" s="19"/>
      <c r="O1008" s="19"/>
      <c r="P1008" s="19"/>
      <c r="Q1008" s="19"/>
      <c r="R1008" s="19"/>
      <c r="S1008" s="19"/>
      <c r="T1008" s="19"/>
      <c r="U1008" s="19"/>
      <c r="V1008" s="19"/>
      <c r="W1008" s="19"/>
      <c r="X1008" s="19"/>
      <c r="Y1008" s="19"/>
    </row>
    <row r="1009" spans="1:25" ht="12" customHeight="1">
      <c r="A1009" s="219" t="n" cm="1">
        <f t="array" ref="A1009">IFERROR(INDEX('03.Muestra'!$B$8:$B$42,SMALL(IF("Página Web"='03.Muestra'!$D$8:$D$42,ROW('03.Muestra'!$B$8:$B$42)-MIN(ROW('03.Muestra'!$D$8:$D$42))+1,""),ROW()-1006)),"")</f>
        <v>1.0</v>
      </c>
      <c r="B1009" s="114" t="str" cm="1">
        <f t="array" ref="B1009">IFERROR(INDEX('03.Muestra'!$C$8:$C$42,SMALL(IF("Página Web"='03.Muestra'!$D$8:$D$42,ROW('03.Muestra'!$C$8:$C$42)-MIN(ROW('03.Muestra'!$D$8:$D$42))+1,""),ROW()-1006)),"")</f>
        <v>Home - PortCastelló</v>
      </c>
      <c r="C1009" s="114" t="str" cm="1">
        <f t="array" ref="C1009">IFERROR(INDEX('03.Muestra'!$F$8:$F$42,SMALL(IF("Página Web"='03.Muestra'!$D$8:$D$42,ROW('03.Muestra'!$F$8:$F$42)-MIN(ROW('03.Muestra'!$D$8:$D$42))+1,""),ROW()-1006)),"")</f>
        <v>https://www.portcastello.com/</v>
      </c>
      <c r="D1009" s="130" t="s">
        <v>37</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t="n" cm="1">
        <f t="array" ref="A1010">IFERROR(INDEX('03.Muestra'!$B$8:$B$42,SMALL(IF("Página Web"='03.Muestra'!$D$8:$D$42,ROW('03.Muestra'!$B$8:$B$42)-MIN(ROW('03.Muestra'!$D$8:$D$42))+1,""),ROW()-1006)),"")</f>
        <v>1.0</v>
      </c>
      <c r="B1010" s="114" t="str" cm="1">
        <f t="array" ref="B1010">IFERROR(INDEX('03.Muestra'!$C$8:$C$42,SMALL(IF("Página Web"='03.Muestra'!$D$8:$D$42,ROW('03.Muestra'!$C$8:$C$42)-MIN(ROW('03.Muestra'!$D$8:$D$42))+1,""),ROW()-1006)),"")</f>
        <v>Home - PortCastelló</v>
      </c>
      <c r="C1010" s="114" t="str" cm="1">
        <f t="array" ref="C1010">IFERROR(INDEX('03.Muestra'!$F$8:$F$42,SMALL(IF("Página Web"='03.Muestra'!$D$8:$D$42,ROW('03.Muestra'!$F$8:$F$42)-MIN(ROW('03.Muestra'!$D$8:$D$42))+1,""),ROW()-1006)),"")</f>
        <v>https://www.portcastello.com/</v>
      </c>
      <c r="D1010" s="130" t="s">
        <v>37</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t="n" cm="1">
        <f t="array" ref="A1011">IFERROR(INDEX('03.Muestra'!$B$8:$B$42,SMALL(IF("Página Web"='03.Muestra'!$D$8:$D$42,ROW('03.Muestra'!$B$8:$B$42)-MIN(ROW('03.Muestra'!$D$8:$D$42))+1,""),ROW()-1006)),"")</f>
        <v>1.0</v>
      </c>
      <c r="B1011" s="114" t="str" cm="1">
        <f t="array" ref="B1011">IFERROR(INDEX('03.Muestra'!$C$8:$C$42,SMALL(IF("Página Web"='03.Muestra'!$D$8:$D$42,ROW('03.Muestra'!$C$8:$C$42)-MIN(ROW('03.Muestra'!$D$8:$D$42))+1,""),ROW()-1006)),"")</f>
        <v>Home - PortCastelló</v>
      </c>
      <c r="C1011" s="114" t="str" cm="1">
        <f t="array" ref="C1011">IFERROR(INDEX('03.Muestra'!$F$8:$F$42,SMALL(IF("Página Web"='03.Muestra'!$D$8:$D$42,ROW('03.Muestra'!$F$8:$F$42)-MIN(ROW('03.Muestra'!$D$8:$D$42))+1,""),ROW()-1006)),"")</f>
        <v>https://www.portcastello.com/</v>
      </c>
      <c r="D1011" s="130" t="s">
        <v>37</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t="n" cm="1">
        <f t="array" ref="A1012">IFERROR(INDEX('03.Muestra'!$B$8:$B$42,SMALL(IF("Página Web"='03.Muestra'!$D$8:$D$42,ROW('03.Muestra'!$B$8:$B$42)-MIN(ROW('03.Muestra'!$D$8:$D$42))+1,""),ROW()-1006)),"")</f>
        <v>1.0</v>
      </c>
      <c r="B1012" s="114" t="str" cm="1">
        <f t="array" ref="B1012">IFERROR(INDEX('03.Muestra'!$C$8:$C$42,SMALL(IF("Página Web"='03.Muestra'!$D$8:$D$42,ROW('03.Muestra'!$C$8:$C$42)-MIN(ROW('03.Muestra'!$D$8:$D$42))+1,""),ROW()-1006)),"")</f>
        <v>Home - PortCastelló</v>
      </c>
      <c r="C1012" s="114" t="str" cm="1">
        <f t="array" ref="C1012">IFERROR(INDEX('03.Muestra'!$F$8:$F$42,SMALL(IF("Página Web"='03.Muestra'!$D$8:$D$42,ROW('03.Muestra'!$F$8:$F$42)-MIN(ROW('03.Muestra'!$D$8:$D$42))+1,""),ROW()-1006)),"")</f>
        <v>https://www.portcastello.com/</v>
      </c>
      <c r="D1012" s="130" t="s">
        <v>37</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t="n" cm="1">
        <f t="array" ref="A1013">IFERROR(INDEX('03.Muestra'!$B$8:$B$42,SMALL(IF("Página Web"='03.Muestra'!$D$8:$D$42,ROW('03.Muestra'!$B$8:$B$42)-MIN(ROW('03.Muestra'!$D$8:$D$42))+1,""),ROW()-1006)),"")</f>
        <v>1.0</v>
      </c>
      <c r="B1013" s="114" t="str" cm="1">
        <f t="array" ref="B1013">IFERROR(INDEX('03.Muestra'!$C$8:$C$42,SMALL(IF("Página Web"='03.Muestra'!$D$8:$D$42,ROW('03.Muestra'!$C$8:$C$42)-MIN(ROW('03.Muestra'!$D$8:$D$42))+1,""),ROW()-1006)),"")</f>
        <v>Home - PortCastelló</v>
      </c>
      <c r="C1013" s="114" t="str" cm="1">
        <f t="array" ref="C1013">IFERROR(INDEX('03.Muestra'!$F$8:$F$42,SMALL(IF("Página Web"='03.Muestra'!$D$8:$D$42,ROW('03.Muestra'!$F$8:$F$42)-MIN(ROW('03.Muestra'!$D$8:$D$42))+1,""),ROW()-1006)),"")</f>
        <v>https://www.portcastello.com/</v>
      </c>
      <c r="D1013" s="130" t="s">
        <v>37</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t="n" cm="1">
        <f t="array" ref="A1014">IFERROR(INDEX('03.Muestra'!$B$8:$B$42,SMALL(IF("Página Web"='03.Muestra'!$D$8:$D$42,ROW('03.Muestra'!$B$8:$B$42)-MIN(ROW('03.Muestra'!$D$8:$D$42))+1,""),ROW()-1006)),"")</f>
        <v>1.0</v>
      </c>
      <c r="B1014" s="114" t="str" cm="1">
        <f t="array" ref="B1014">IFERROR(INDEX('03.Muestra'!$C$8:$C$42,SMALL(IF("Página Web"='03.Muestra'!$D$8:$D$42,ROW('03.Muestra'!$C$8:$C$42)-MIN(ROW('03.Muestra'!$D$8:$D$42))+1,""),ROW()-1006)),"")</f>
        <v>Home - PortCastelló</v>
      </c>
      <c r="C1014" s="114" t="str" cm="1">
        <f t="array" ref="C1014">IFERROR(INDEX('03.Muestra'!$F$8:$F$42,SMALL(IF("Página Web"='03.Muestra'!$D$8:$D$42,ROW('03.Muestra'!$F$8:$F$42)-MIN(ROW('03.Muestra'!$D$8:$D$42))+1,""),ROW()-1006)),"")</f>
        <v>https://www.portcastello.com/</v>
      </c>
      <c r="D1014" s="130" t="s">
        <v>37</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n" cm="1">
        <f t="array" ref="A1015">IFERROR(INDEX('03.Muestra'!$B$8:$B$42,SMALL(IF("Página Web"='03.Muestra'!$D$8:$D$42,ROW('03.Muestra'!$B$8:$B$42)-MIN(ROW('03.Muestra'!$D$8:$D$42))+1,""),ROW()-1006)),"")</f>
        <v>1.0</v>
      </c>
      <c r="B1015" s="114" t="str" cm="1">
        <f t="array" ref="B1015">IFERROR(INDEX('03.Muestra'!$C$8:$C$42,SMALL(IF("Página Web"='03.Muestra'!$D$8:$D$42,ROW('03.Muestra'!$C$8:$C$42)-MIN(ROW('03.Muestra'!$D$8:$D$42))+1,""),ROW()-1006)),"")</f>
        <v>Home - PortCastelló</v>
      </c>
      <c r="C1015" s="114" t="str" cm="1">
        <f t="array" ref="C1015">IFERROR(INDEX('03.Muestra'!$F$8:$F$42,SMALL(IF("Página Web"='03.Muestra'!$D$8:$D$42,ROW('03.Muestra'!$F$8:$F$42)-MIN(ROW('03.Muestra'!$D$8:$D$42))+1,""),ROW()-1006)),"")</f>
        <v>https://www.portcastello.com/</v>
      </c>
      <c r="D1015" s="130" t="s">
        <v>37</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n"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Home - PortCastelló</v>
      </c>
      <c r="C1016" s="114" t="str" cm="1">
        <f t="array" ref="C1016">IFERROR(INDEX('03.Muestra'!$F$8:$F$42,SMALL(IF("Página Web"='03.Muestra'!$D$8:$D$42,ROW('03.Muestra'!$F$8:$F$42)-MIN(ROW('03.Muestra'!$D$8:$D$42))+1,""),ROW()-1006)),"")</f>
        <v>https://www.portcastello.com/</v>
      </c>
      <c r="D1016" s="130" t="s">
        <v>37</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n" cm="1">
        <f t="array" ref="A1017">IFERROR(INDEX('03.Muestra'!$B$8:$B$42,SMALL(IF("Página Web"='03.Muestra'!$D$8:$D$42,ROW('03.Muestra'!$B$8:$B$42)-MIN(ROW('03.Muestra'!$D$8:$D$42))+1,""),ROW()-1006)),"")</f>
        <v>1.0</v>
      </c>
      <c r="B1017" s="114" t="str" cm="1">
        <f t="array" ref="B1017">IFERROR(INDEX('03.Muestra'!$C$8:$C$42,SMALL(IF("Página Web"='03.Muestra'!$D$8:$D$42,ROW('03.Muestra'!$C$8:$C$42)-MIN(ROW('03.Muestra'!$D$8:$D$42))+1,""),ROW()-1006)),"")</f>
        <v>Home - PortCastelló</v>
      </c>
      <c r="C1017" s="114" t="str" cm="1">
        <f t="array" ref="C1017">IFERROR(INDEX('03.Muestra'!$F$8:$F$42,SMALL(IF("Página Web"='03.Muestra'!$D$8:$D$42,ROW('03.Muestra'!$F$8:$F$42)-MIN(ROW('03.Muestra'!$D$8:$D$42))+1,""),ROW()-1006)),"")</f>
        <v>https://www.portcastello.com/</v>
      </c>
      <c r="D1017" s="130" t="s">
        <v>37</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n" cm="1">
        <f t="array" ref="A1018">IFERROR(INDEX('03.Muestra'!$B$8:$B$42,SMALL(IF("Página Web"='03.Muestra'!$D$8:$D$42,ROW('03.Muestra'!$B$8:$B$42)-MIN(ROW('03.Muestra'!$D$8:$D$42))+1,""),ROW()-1006)),"")</f>
        <v>1.0</v>
      </c>
      <c r="B1018" s="114" t="str" cm="1">
        <f t="array" ref="B1018">IFERROR(INDEX('03.Muestra'!$C$8:$C$42,SMALL(IF("Página Web"='03.Muestra'!$D$8:$D$42,ROW('03.Muestra'!$C$8:$C$42)-MIN(ROW('03.Muestra'!$D$8:$D$42))+1,""),ROW()-1006)),"")</f>
        <v>Home - PortCastelló</v>
      </c>
      <c r="C1018" s="114" t="str" cm="1">
        <f t="array" ref="C1018">IFERROR(INDEX('03.Muestra'!$F$8:$F$42,SMALL(IF("Página Web"='03.Muestra'!$D$8:$D$42,ROW('03.Muestra'!$F$8:$F$42)-MIN(ROW('03.Muestra'!$D$8:$D$42))+1,""),ROW()-1006)),"")</f>
        <v>https://www.portcastello.com/</v>
      </c>
      <c r="D1018" s="130" t="s">
        <v>37</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n" cm="1">
        <f t="array" ref="A1019">IFERROR(INDEX('03.Muestra'!$B$8:$B$42,SMALL(IF("Página Web"='03.Muestra'!$D$8:$D$42,ROW('03.Muestra'!$B$8:$B$42)-MIN(ROW('03.Muestra'!$D$8:$D$42))+1,""),ROW()-1006)),"")</f>
        <v>1.0</v>
      </c>
      <c r="B1019" s="114" t="str" cm="1">
        <f t="array" ref="B1019">IFERROR(INDEX('03.Muestra'!$C$8:$C$42,SMALL(IF("Página Web"='03.Muestra'!$D$8:$D$42,ROW('03.Muestra'!$C$8:$C$42)-MIN(ROW('03.Muestra'!$D$8:$D$42))+1,""),ROW()-1006)),"")</f>
        <v>Home - PortCastelló</v>
      </c>
      <c r="C1019" s="114" t="str" cm="1">
        <f t="array" ref="C1019">IFERROR(INDEX('03.Muestra'!$F$8:$F$42,SMALL(IF("Página Web"='03.Muestra'!$D$8:$D$42,ROW('03.Muestra'!$F$8:$F$42)-MIN(ROW('03.Muestra'!$D$8:$D$42))+1,""),ROW()-1006)),"")</f>
        <v>https://www.portcastello.com/</v>
      </c>
      <c r="D1019" s="130" t="s">
        <v>37</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n" cm="1">
        <f t="array" ref="A1020">IFERROR(INDEX('03.Muestra'!$B$8:$B$42,SMALL(IF("Página Web"='03.Muestra'!$D$8:$D$42,ROW('03.Muestra'!$B$8:$B$42)-MIN(ROW('03.Muestra'!$D$8:$D$42))+1,""),ROW()-1006)),"")</f>
        <v>1.0</v>
      </c>
      <c r="B1020" s="114" t="str" cm="1">
        <f t="array" ref="B1020">IFERROR(INDEX('03.Muestra'!$C$8:$C$42,SMALL(IF("Página Web"='03.Muestra'!$D$8:$D$42,ROW('03.Muestra'!$C$8:$C$42)-MIN(ROW('03.Muestra'!$D$8:$D$42))+1,""),ROW()-1006)),"")</f>
        <v>Home - PortCastelló</v>
      </c>
      <c r="C1020" s="114" t="str" cm="1">
        <f t="array" ref="C1020">IFERROR(INDEX('03.Muestra'!$F$8:$F$42,SMALL(IF("Página Web"='03.Muestra'!$D$8:$D$42,ROW('03.Muestra'!$F$8:$F$42)-MIN(ROW('03.Muestra'!$D$8:$D$42))+1,""),ROW()-1006)),"")</f>
        <v>https://www.portcastello.com/</v>
      </c>
      <c r="D1020" s="130" t="s">
        <v>37</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n" cm="1">
        <f t="array" ref="A1021">IFERROR(INDEX('03.Muestra'!$B$8:$B$42,SMALL(IF("Página Web"='03.Muestra'!$D$8:$D$42,ROW('03.Muestra'!$B$8:$B$42)-MIN(ROW('03.Muestra'!$D$8:$D$42))+1,""),ROW()-1006)),"")</f>
        <v>1.0</v>
      </c>
      <c r="B1021" s="114" t="str" cm="1">
        <f t="array" ref="B1021">IFERROR(INDEX('03.Muestra'!$C$8:$C$42,SMALL(IF("Página Web"='03.Muestra'!$D$8:$D$42,ROW('03.Muestra'!$C$8:$C$42)-MIN(ROW('03.Muestra'!$D$8:$D$42))+1,""),ROW()-1006)),"")</f>
        <v>Home - PortCastelló</v>
      </c>
      <c r="C1021" s="114" t="str" cm="1">
        <f t="array" ref="C1021">IFERROR(INDEX('03.Muestra'!$F$8:$F$42,SMALL(IF("Página Web"='03.Muestra'!$D$8:$D$42,ROW('03.Muestra'!$F$8:$F$42)-MIN(ROW('03.Muestra'!$D$8:$D$42))+1,""),ROW()-1006)),"")</f>
        <v>https://www.portcastello.com/</v>
      </c>
      <c r="D1021" s="130" t="s">
        <v>37</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n" cm="1">
        <f t="array" ref="A1022">IFERROR(INDEX('03.Muestra'!$B$8:$B$42,SMALL(IF("Página Web"='03.Muestra'!$D$8:$D$42,ROW('03.Muestra'!$B$8:$B$42)-MIN(ROW('03.Muestra'!$D$8:$D$42))+1,""),ROW()-1006)),"")</f>
        <v>1.0</v>
      </c>
      <c r="B1022" s="114" t="str" cm="1">
        <f t="array" ref="B1022">IFERROR(INDEX('03.Muestra'!$C$8:$C$42,SMALL(IF("Página Web"='03.Muestra'!$D$8:$D$42,ROW('03.Muestra'!$C$8:$C$42)-MIN(ROW('03.Muestra'!$D$8:$D$42))+1,""),ROW()-1006)),"")</f>
        <v>Home - PortCastelló</v>
      </c>
      <c r="C1022" s="114" t="str" cm="1">
        <f t="array" ref="C1022">IFERROR(INDEX('03.Muestra'!$F$8:$F$42,SMALL(IF("Página Web"='03.Muestra'!$D$8:$D$42,ROW('03.Muestra'!$F$8:$F$42)-MIN(ROW('03.Muestra'!$D$8:$D$42))+1,""),ROW()-1006)),"")</f>
        <v>https://www.portcastello.com/</v>
      </c>
      <c r="D1022" s="130" t="s">
        <v>37</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n" cm="1">
        <f t="array" ref="A1023">IFERROR(INDEX('03.Muestra'!$B$8:$B$42,SMALL(IF("Página Web"='03.Muestra'!$D$8:$D$42,ROW('03.Muestra'!$B$8:$B$42)-MIN(ROW('03.Muestra'!$D$8:$D$42))+1,""),ROW()-1006)),"")</f>
        <v>1.0</v>
      </c>
      <c r="B1023" s="114" t="str" cm="1">
        <f t="array" ref="B1023">IFERROR(INDEX('03.Muestra'!$C$8:$C$42,SMALL(IF("Página Web"='03.Muestra'!$D$8:$D$42,ROW('03.Muestra'!$C$8:$C$42)-MIN(ROW('03.Muestra'!$D$8:$D$42))+1,""),ROW()-1006)),"")</f>
        <v>Home - PortCastelló</v>
      </c>
      <c r="C1023" s="114" t="str" cm="1">
        <f t="array" ref="C1023">IFERROR(INDEX('03.Muestra'!$F$8:$F$42,SMALL(IF("Página Web"='03.Muestra'!$D$8:$D$42,ROW('03.Muestra'!$F$8:$F$42)-MIN(ROW('03.Muestra'!$D$8:$D$42))+1,""),ROW()-1006)),"")</f>
        <v>https://www.portcastello.com/</v>
      </c>
      <c r="D1023" s="130" t="s">
        <v>37</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n" cm="1">
        <f t="array" ref="A1024">IFERROR(INDEX('03.Muestra'!$B$8:$B$42,SMALL(IF("Página Web"='03.Muestra'!$D$8:$D$42,ROW('03.Muestra'!$B$8:$B$42)-MIN(ROW('03.Muestra'!$D$8:$D$42))+1,""),ROW()-1006)),"")</f>
        <v>1.0</v>
      </c>
      <c r="B1024" s="114" t="str" cm="1">
        <f t="array" ref="B1024">IFERROR(INDEX('03.Muestra'!$C$8:$C$42,SMALL(IF("Página Web"='03.Muestra'!$D$8:$D$42,ROW('03.Muestra'!$C$8:$C$42)-MIN(ROW('03.Muestra'!$D$8:$D$42))+1,""),ROW()-1006)),"")</f>
        <v>Home - PortCastelló</v>
      </c>
      <c r="C1024" s="114" t="str" cm="1">
        <f t="array" ref="C1024">IFERROR(INDEX('03.Muestra'!$F$8:$F$42,SMALL(IF("Página Web"='03.Muestra'!$D$8:$D$42,ROW('03.Muestra'!$F$8:$F$42)-MIN(ROW('03.Muestra'!$D$8:$D$42))+1,""),ROW()-1006)),"")</f>
        <v>https://www.portcastello.com/</v>
      </c>
      <c r="D1024" s="130" t="s">
        <v>37</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n" cm="1">
        <f t="array" ref="A1025">IFERROR(INDEX('03.Muestra'!$B$8:$B$42,SMALL(IF("Página Web"='03.Muestra'!$D$8:$D$42,ROW('03.Muestra'!$B$8:$B$42)-MIN(ROW('03.Muestra'!$D$8:$D$42))+1,""),ROW()-1006)),"")</f>
        <v>1.0</v>
      </c>
      <c r="B1025" s="114" t="str" cm="1">
        <f t="array" ref="B1025">IFERROR(INDEX('03.Muestra'!$C$8:$C$42,SMALL(IF("Página Web"='03.Muestra'!$D$8:$D$42,ROW('03.Muestra'!$C$8:$C$42)-MIN(ROW('03.Muestra'!$D$8:$D$42))+1,""),ROW()-1006)),"")</f>
        <v>Home - PortCastelló</v>
      </c>
      <c r="C1025" s="114" t="str" cm="1">
        <f t="array" ref="C1025">IFERROR(INDEX('03.Muestra'!$F$8:$F$42,SMALL(IF("Página Web"='03.Muestra'!$D$8:$D$42,ROW('03.Muestra'!$F$8:$F$42)-MIN(ROW('03.Muestra'!$D$8:$D$42))+1,""),ROW()-1006)),"")</f>
        <v>https://www.portcastello.com/</v>
      </c>
      <c r="D1025" s="130" t="s">
        <v>37</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n" cm="1">
        <f t="array" ref="A1026">IFERROR(INDEX('03.Muestra'!$B$8:$B$42,SMALL(IF("Página Web"='03.Muestra'!$D$8:$D$42,ROW('03.Muestra'!$B$8:$B$42)-MIN(ROW('03.Muestra'!$D$8:$D$42))+1,""),ROW()-1006)),"")</f>
        <v>1.0</v>
      </c>
      <c r="B1026" s="114" t="str" cm="1">
        <f t="array" ref="B1026">IFERROR(INDEX('03.Muestra'!$C$8:$C$42,SMALL(IF("Página Web"='03.Muestra'!$D$8:$D$42,ROW('03.Muestra'!$C$8:$C$42)-MIN(ROW('03.Muestra'!$D$8:$D$42))+1,""),ROW()-1006)),"")</f>
        <v>Home - PortCastelló</v>
      </c>
      <c r="C1026" s="114" t="str" cm="1">
        <f t="array" ref="C1026">IFERROR(INDEX('03.Muestra'!$F$8:$F$42,SMALL(IF("Página Web"='03.Muestra'!$D$8:$D$42,ROW('03.Muestra'!$F$8:$F$42)-MIN(ROW('03.Muestra'!$D$8:$D$42))+1,""),ROW()-1006)),"")</f>
        <v>https://www.portcastello.com/</v>
      </c>
      <c r="D1026" s="130" t="s">
        <v>37</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n" cm="1">
        <f t="array" ref="A1027">IFERROR(INDEX('03.Muestra'!$B$8:$B$42,SMALL(IF("Página Web"='03.Muestra'!$D$8:$D$42,ROW('03.Muestra'!$B$8:$B$42)-MIN(ROW('03.Muestra'!$D$8:$D$42))+1,""),ROW()-1006)),"")</f>
        <v>1.0</v>
      </c>
      <c r="B1027" s="114" t="str" cm="1">
        <f t="array" ref="B1027">IFERROR(INDEX('03.Muestra'!$C$8:$C$42,SMALL(IF("Página Web"='03.Muestra'!$D$8:$D$42,ROW('03.Muestra'!$C$8:$C$42)-MIN(ROW('03.Muestra'!$D$8:$D$42))+1,""),ROW()-1006)),"")</f>
        <v>Home - PortCastelló</v>
      </c>
      <c r="C1027" s="114" t="str" cm="1">
        <f t="array" ref="C1027">IFERROR(INDEX('03.Muestra'!$F$8:$F$42,SMALL(IF("Página Web"='03.Muestra'!$D$8:$D$42,ROW('03.Muestra'!$F$8:$F$42)-MIN(ROW('03.Muestra'!$D$8:$D$42))+1,""),ROW()-1006)),"")</f>
        <v>https://www.portcastello.com/</v>
      </c>
      <c r="D1027" s="130" t="s">
        <v>37</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n" cm="1">
        <f t="array" ref="A1028">IFERROR(INDEX('03.Muestra'!$B$8:$B$42,SMALL(IF("Página Web"='03.Muestra'!$D$8:$D$42,ROW('03.Muestra'!$B$8:$B$42)-MIN(ROW('03.Muestra'!$D$8:$D$42))+1,""),ROW()-1006)),"")</f>
        <v>1.0</v>
      </c>
      <c r="B1028" s="114" t="str" cm="1">
        <f t="array" ref="B1028">IFERROR(INDEX('03.Muestra'!$C$8:$C$42,SMALL(IF("Página Web"='03.Muestra'!$D$8:$D$42,ROW('03.Muestra'!$C$8:$C$42)-MIN(ROW('03.Muestra'!$D$8:$D$42))+1,""),ROW()-1006)),"")</f>
        <v>Home - PortCastelló</v>
      </c>
      <c r="C1028" s="114" t="str" cm="1">
        <f t="array" ref="C1028">IFERROR(INDEX('03.Muestra'!$F$8:$F$42,SMALL(IF("Página Web"='03.Muestra'!$D$8:$D$42,ROW('03.Muestra'!$F$8:$F$42)-MIN(ROW('03.Muestra'!$D$8:$D$42))+1,""),ROW()-1006)),"")</f>
        <v>https://www.portcastello.com/</v>
      </c>
      <c r="D1028" s="130" t="s">
        <v>37</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n" cm="1">
        <f t="array" ref="A1029">IFERROR(INDEX('03.Muestra'!$B$8:$B$42,SMALL(IF("Página Web"='03.Muestra'!$D$8:$D$42,ROW('03.Muestra'!$B$8:$B$42)-MIN(ROW('03.Muestra'!$D$8:$D$42))+1,""),ROW()-1006)),"")</f>
        <v>1.0</v>
      </c>
      <c r="B1029" s="114" t="str" cm="1">
        <f t="array" ref="B1029">IFERROR(INDEX('03.Muestra'!$C$8:$C$42,SMALL(IF("Página Web"='03.Muestra'!$D$8:$D$42,ROW('03.Muestra'!$C$8:$C$42)-MIN(ROW('03.Muestra'!$D$8:$D$42))+1,""),ROW()-1006)),"")</f>
        <v>Home - PortCastelló</v>
      </c>
      <c r="C1029" s="114" t="str" cm="1">
        <f t="array" ref="C1029">IFERROR(INDEX('03.Muestra'!$F$8:$F$42,SMALL(IF("Página Web"='03.Muestra'!$D$8:$D$42,ROW('03.Muestra'!$F$8:$F$42)-MIN(ROW('03.Muestra'!$D$8:$D$42))+1,""),ROW()-1006)),"")</f>
        <v>https://www.portcastello.com/</v>
      </c>
      <c r="D1029" s="130" t="s">
        <v>37</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n" cm="1">
        <f t="array" ref="A1030">IFERROR(INDEX('03.Muestra'!$B$8:$B$42,SMALL(IF("Página Web"='03.Muestra'!$D$8:$D$42,ROW('03.Muestra'!$B$8:$B$42)-MIN(ROW('03.Muestra'!$D$8:$D$42))+1,""),ROW()-1006)),"")</f>
        <v>1.0</v>
      </c>
      <c r="B1030" s="114" t="str" cm="1">
        <f t="array" ref="B1030">IFERROR(INDEX('03.Muestra'!$C$8:$C$42,SMALL(IF("Página Web"='03.Muestra'!$D$8:$D$42,ROW('03.Muestra'!$C$8:$C$42)-MIN(ROW('03.Muestra'!$D$8:$D$42))+1,""),ROW()-1006)),"")</f>
        <v>Home - PortCastelló</v>
      </c>
      <c r="C1030" s="114" t="str" cm="1">
        <f t="array" ref="C1030">IFERROR(INDEX('03.Muestra'!$F$8:$F$42,SMALL(IF("Página Web"='03.Muestra'!$D$8:$D$42,ROW('03.Muestra'!$F$8:$F$42)-MIN(ROW('03.Muestra'!$D$8:$D$42))+1,""),ROW()-1006)),"")</f>
        <v>https://www.portcastello.com/</v>
      </c>
      <c r="D1030" s="130" t="s">
        <v>37</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n" cm="1">
        <f t="array" ref="A1031">IFERROR(INDEX('03.Muestra'!$B$8:$B$42,SMALL(IF("Página Web"='03.Muestra'!$D$8:$D$42,ROW('03.Muestra'!$B$8:$B$42)-MIN(ROW('03.Muestra'!$D$8:$D$42))+1,""),ROW()-1006)),"")</f>
        <v>1.0</v>
      </c>
      <c r="B1031" s="114" t="str" cm="1">
        <f t="array" ref="B1031">IFERROR(INDEX('03.Muestra'!$C$8:$C$42,SMALL(IF("Página Web"='03.Muestra'!$D$8:$D$42,ROW('03.Muestra'!$C$8:$C$42)-MIN(ROW('03.Muestra'!$D$8:$D$42))+1,""),ROW()-1006)),"")</f>
        <v>Home - PortCastelló</v>
      </c>
      <c r="C1031" s="114" t="str" cm="1">
        <f t="array" ref="C1031">IFERROR(INDEX('03.Muestra'!$F$8:$F$42,SMALL(IF("Página Web"='03.Muestra'!$D$8:$D$42,ROW('03.Muestra'!$F$8:$F$42)-MIN(ROW('03.Muestra'!$D$8:$D$42))+1,""),ROW()-1006)),"")</f>
        <v>https://www.portcastello.com/</v>
      </c>
      <c r="D1031" s="130" t="s">
        <v>37</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n" cm="1">
        <f t="array" ref="A1032">IFERROR(INDEX('03.Muestra'!$B$8:$B$42,SMALL(IF("Página Web"='03.Muestra'!$D$8:$D$42,ROW('03.Muestra'!$B$8:$B$42)-MIN(ROW('03.Muestra'!$D$8:$D$42))+1,""),ROW()-1006)),"")</f>
        <v>1.0</v>
      </c>
      <c r="B1032" s="114" t="str" cm="1">
        <f t="array" ref="B1032">IFERROR(INDEX('03.Muestra'!$C$8:$C$42,SMALL(IF("Página Web"='03.Muestra'!$D$8:$D$42,ROW('03.Muestra'!$C$8:$C$42)-MIN(ROW('03.Muestra'!$D$8:$D$42))+1,""),ROW()-1006)),"")</f>
        <v>Home - PortCastelló</v>
      </c>
      <c r="C1032" s="114" t="str" cm="1">
        <f t="array" ref="C1032">IFERROR(INDEX('03.Muestra'!$F$8:$F$42,SMALL(IF("Página Web"='03.Muestra'!$D$8:$D$42,ROW('03.Muestra'!$F$8:$F$42)-MIN(ROW('03.Muestra'!$D$8:$D$42))+1,""),ROW()-1006)),"")</f>
        <v>https://www.portcastello.com/</v>
      </c>
      <c r="D1032" s="130" t="s">
        <v>37</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n" cm="1">
        <f t="array" ref="A1033">IFERROR(INDEX('03.Muestra'!$B$8:$B$42,SMALL(IF("Página Web"='03.Muestra'!$D$8:$D$42,ROW('03.Muestra'!$B$8:$B$42)-MIN(ROW('03.Muestra'!$D$8:$D$42))+1,""),ROW()-1006)),"")</f>
        <v>1.0</v>
      </c>
      <c r="B1033" s="114" t="str" cm="1">
        <f t="array" ref="B1033">IFERROR(INDEX('03.Muestra'!$C$8:$C$42,SMALL(IF("Página Web"='03.Muestra'!$D$8:$D$42,ROW('03.Muestra'!$C$8:$C$42)-MIN(ROW('03.Muestra'!$D$8:$D$42))+1,""),ROW()-1006)),"")</f>
        <v>Home - PortCastelló</v>
      </c>
      <c r="C1033" s="114" t="str" cm="1">
        <f t="array" ref="C1033">IFERROR(INDEX('03.Muestra'!$F$8:$F$42,SMALL(IF("Página Web"='03.Muestra'!$D$8:$D$42,ROW('03.Muestra'!$F$8:$F$42)-MIN(ROW('03.Muestra'!$D$8:$D$42))+1,""),ROW()-1006)),"")</f>
        <v>https://www.portcastello.com/</v>
      </c>
      <c r="D1033" s="130" t="s">
        <v>37</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n" cm="1">
        <f t="array" ref="A1034">IFERROR(INDEX('03.Muestra'!$B$8:$B$42,SMALL(IF("Página Web"='03.Muestra'!$D$8:$D$42,ROW('03.Muestra'!$B$8:$B$42)-MIN(ROW('03.Muestra'!$D$8:$D$42))+1,""),ROW()-1006)),"")</f>
        <v>1.0</v>
      </c>
      <c r="B1034" s="114" t="str" cm="1">
        <f t="array" ref="B1034">IFERROR(INDEX('03.Muestra'!$C$8:$C$42,SMALL(IF("Página Web"='03.Muestra'!$D$8:$D$42,ROW('03.Muestra'!$C$8:$C$42)-MIN(ROW('03.Muestra'!$D$8:$D$42))+1,""),ROW()-1006)),"")</f>
        <v>Home - PortCastelló</v>
      </c>
      <c r="C1034" s="114" t="str" cm="1">
        <f t="array" ref="C1034">IFERROR(INDEX('03.Muestra'!$F$8:$F$42,SMALL(IF("Página Web"='03.Muestra'!$D$8:$D$42,ROW('03.Muestra'!$F$8:$F$42)-MIN(ROW('03.Muestra'!$D$8:$D$42))+1,""),ROW()-1006)),"")</f>
        <v>https://www.portcastello.com/</v>
      </c>
      <c r="D1034" s="130" t="s">
        <v>37</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n" cm="1">
        <f t="array" ref="A1035">IFERROR(INDEX('03.Muestra'!$B$8:$B$42,SMALL(IF("Página Web"='03.Muestra'!$D$8:$D$42,ROW('03.Muestra'!$B$8:$B$42)-MIN(ROW('03.Muestra'!$D$8:$D$42))+1,""),ROW()-1006)),"")</f>
        <v>1.0</v>
      </c>
      <c r="B1035" s="114" t="str" cm="1">
        <f t="array" ref="B1035">IFERROR(INDEX('03.Muestra'!$C$8:$C$42,SMALL(IF("Página Web"='03.Muestra'!$D$8:$D$42,ROW('03.Muestra'!$C$8:$C$42)-MIN(ROW('03.Muestra'!$D$8:$D$42))+1,""),ROW()-1006)),"")</f>
        <v>Home - PortCastelló</v>
      </c>
      <c r="C1035" s="114" t="str" cm="1">
        <f t="array" ref="C1035">IFERROR(INDEX('03.Muestra'!$F$8:$F$42,SMALL(IF("Página Web"='03.Muestra'!$D$8:$D$42,ROW('03.Muestra'!$F$8:$F$42)-MIN(ROW('03.Muestra'!$D$8:$D$42))+1,""),ROW()-1006)),"")</f>
        <v>https://www.portcastello.com/</v>
      </c>
      <c r="D1035" s="130" t="s">
        <v>37</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n" cm="1">
        <f t="array" ref="A1036">IFERROR(INDEX('03.Muestra'!$B$8:$B$42,SMALL(IF("Página Web"='03.Muestra'!$D$8:$D$42,ROW('03.Muestra'!$B$8:$B$42)-MIN(ROW('03.Muestra'!$D$8:$D$42))+1,""),ROW()-1006)),"")</f>
        <v>1.0</v>
      </c>
      <c r="B1036" s="114" t="str" cm="1">
        <f t="array" ref="B1036">IFERROR(INDEX('03.Muestra'!$C$8:$C$42,SMALL(IF("Página Web"='03.Muestra'!$D$8:$D$42,ROW('03.Muestra'!$C$8:$C$42)-MIN(ROW('03.Muestra'!$D$8:$D$42))+1,""),ROW()-1006)),"")</f>
        <v>Home - PortCastelló</v>
      </c>
      <c r="C1036" s="114" t="str" cm="1">
        <f t="array" ref="C1036">IFERROR(INDEX('03.Muestra'!$F$8:$F$42,SMALL(IF("Página Web"='03.Muestra'!$D$8:$D$42,ROW('03.Muestra'!$F$8:$F$42)-MIN(ROW('03.Muestra'!$D$8:$D$42))+1,""),ROW()-1006)),"")</f>
        <v>https://www.portcastello.com/</v>
      </c>
      <c r="D1036" s="130" t="s">
        <v>37</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n" cm="1">
        <f t="array" ref="A1037">IFERROR(INDEX('03.Muestra'!$B$8:$B$42,SMALL(IF("Página Web"='03.Muestra'!$D$8:$D$42,ROW('03.Muestra'!$B$8:$B$42)-MIN(ROW('03.Muestra'!$D$8:$D$42))+1,""),ROW()-1006)),"")</f>
        <v>1.0</v>
      </c>
      <c r="B1037" s="114" t="str" cm="1">
        <f t="array" ref="B1037">IFERROR(INDEX('03.Muestra'!$C$8:$C$42,SMALL(IF("Página Web"='03.Muestra'!$D$8:$D$42,ROW('03.Muestra'!$C$8:$C$42)-MIN(ROW('03.Muestra'!$D$8:$D$42))+1,""),ROW()-1006)),"")</f>
        <v>Home - PortCastelló</v>
      </c>
      <c r="C1037" s="114" t="str" cm="1">
        <f t="array" ref="C1037">IFERROR(INDEX('03.Muestra'!$F$8:$F$42,SMALL(IF("Página Web"='03.Muestra'!$D$8:$D$42,ROW('03.Muestra'!$F$8:$F$42)-MIN(ROW('03.Muestra'!$D$8:$D$42))+1,""),ROW()-1006)),"")</f>
        <v>https://www.portcastello.com/</v>
      </c>
      <c r="D1037" s="130" t="s">
        <v>37</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n" cm="1">
        <f t="array" ref="A1038">IFERROR(INDEX('03.Muestra'!$B$8:$B$42,SMALL(IF("Página Web"='03.Muestra'!$D$8:$D$42,ROW('03.Muestra'!$B$8:$B$42)-MIN(ROW('03.Muestra'!$D$8:$D$42))+1,""),ROW()-1006)),"")</f>
        <v>1.0</v>
      </c>
      <c r="B1038" s="114" t="str" cm="1">
        <f t="array" ref="B1038">IFERROR(INDEX('03.Muestra'!$C$8:$C$42,SMALL(IF("Página Web"='03.Muestra'!$D$8:$D$42,ROW('03.Muestra'!$C$8:$C$42)-MIN(ROW('03.Muestra'!$D$8:$D$42))+1,""),ROW()-1006)),"")</f>
        <v>Home - PortCastelló</v>
      </c>
      <c r="C1038" s="114" t="str" cm="1">
        <f t="array" ref="C1038">IFERROR(INDEX('03.Muestra'!$F$8:$F$42,SMALL(IF("Página Web"='03.Muestra'!$D$8:$D$42,ROW('03.Muestra'!$F$8:$F$42)-MIN(ROW('03.Muestra'!$D$8:$D$42))+1,""),ROW()-1006)),"")</f>
        <v>https://www.portcastello.com/</v>
      </c>
      <c r="D1038" s="130" t="s">
        <v>37</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n" cm="1">
        <f t="array" ref="A1039">IFERROR(INDEX('03.Muestra'!$B$8:$B$42,SMALL(IF("Página Web"='03.Muestra'!$D$8:$D$42,ROW('03.Muestra'!$B$8:$B$42)-MIN(ROW('03.Muestra'!$D$8:$D$42))+1,""),ROW()-1006)),"")</f>
        <v>1.0</v>
      </c>
      <c r="B1039" s="114" t="str" cm="1">
        <f t="array" ref="B1039">IFERROR(INDEX('03.Muestra'!$C$8:$C$42,SMALL(IF("Página Web"='03.Muestra'!$D$8:$D$42,ROW('03.Muestra'!$C$8:$C$42)-MIN(ROW('03.Muestra'!$D$8:$D$42))+1,""),ROW()-1006)),"")</f>
        <v>Home - PortCastelló</v>
      </c>
      <c r="C1039" s="114" t="str" cm="1">
        <f t="array" ref="C1039">IFERROR(INDEX('03.Muestra'!$F$8:$F$42,SMALL(IF("Página Web"='03.Muestra'!$D$8:$D$42,ROW('03.Muestra'!$F$8:$F$42)-MIN(ROW('03.Muestra'!$D$8:$D$42))+1,""),ROW()-1006)),"")</f>
        <v>https://www.portcastello.com/</v>
      </c>
      <c r="D1039" s="130" t="s">
        <v>37</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str" cm="1">
        <f t="array" ref="A1040">IFERROR(INDEX('03.Muestra'!$B$8:$B$42,SMALL(IF("Página Web"='03.Muestra'!$D$8:$D$42,ROW('03.Muestra'!$B$8:$B$42)-MIN(ROW('03.Muestra'!$D$8:$D$42))+1,""),ROW()-1006)),"")</f>
        <v/>
      </c>
      <c r="B1040" s="114" t="str" cm="1">
        <f t="array" ref="B1040">IFERROR(INDEX('03.Muestra'!$C$8:$C$42,SMALL(IF("Página Web"='03.Muestra'!$D$8:$D$42,ROW('03.Muestra'!$C$8:$C$42)-MIN(ROW('03.Muestra'!$D$8:$D$42))+1,""),ROW()-1006)),"")</f>
        <v/>
      </c>
      <c r="C1040" s="114" t="str" cm="1">
        <f t="array" ref="C1040">IFERROR(INDEX('03.Muestra'!$F$8:$F$42,SMALL(IF("Página Web"='03.Muestra'!$D$8:$D$42,ROW('03.Muestra'!$F$8:$F$42)-MIN(ROW('03.Muestra'!$D$8:$D$42))+1,""),ROW()-1006)),"")</f>
        <v/>
      </c>
      <c r="D1040" s="130" t="str">
        <f t="shared" si="53" ref="D1040:D1041">IF(AND(B1040&lt;&gt;"",C1040&lt;&gt;""),"N/T","")</f>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268</v>
      </c>
      <c r="B1044" s="24" t="s">
        <v>90</v>
      </c>
      <c r="C1044" s="25" t="s">
        <v>400</v>
      </c>
      <c r="D1044" s="26" t="s">
        <v>32</v>
      </c>
      <c r="E1044" s="123"/>
      <c r="K1044" s="233"/>
      <c r="L1044" s="19"/>
      <c r="M1044" s="19"/>
      <c r="N1044" s="19"/>
      <c r="O1044" s="19"/>
      <c r="P1044" s="19"/>
      <c r="Q1044" s="19"/>
      <c r="R1044" s="19"/>
      <c r="S1044" s="19"/>
      <c r="T1044" s="19"/>
      <c r="U1044" s="19"/>
      <c r="V1044" s="19"/>
      <c r="W1044" s="19"/>
      <c r="X1044" s="19"/>
      <c r="Y1044" s="19"/>
    </row>
    <row r="1045" spans="1:25" ht="12" customHeight="1">
      <c r="A1045" s="219" t="n" cm="1">
        <f t="array" ref="A1045">IFERROR(INDEX('03.Muestra'!$B$8:$B$42,SMALL(IF("Página Web"='03.Muestra'!$D$8:$D$42,ROW('03.Muestra'!$B$8:$B$42)-MIN(ROW('03.Muestra'!$D$8:$D$42))+1,""),ROW()-1044)),"")</f>
        <v>1.0</v>
      </c>
      <c r="B1045" s="114" t="str" cm="1">
        <f t="array" ref="B1045">IFERROR(INDEX('03.Muestra'!$C$8:$C$42,SMALL(IF("Página Web"='03.Muestra'!$D$8:$D$42,ROW('03.Muestra'!$C$8:$C$42)-MIN(ROW('03.Muestra'!$D$8:$D$42))+1,""),ROW()-1044)),"")</f>
        <v>Home - PortCastelló</v>
      </c>
      <c r="C1045" s="114" t="str" cm="1">
        <f t="array" ref="C1045">IFERROR(INDEX('03.Muestra'!$F$8:$F$42,SMALL(IF("Página Web"='03.Muestra'!$D$8:$D$42,ROW('03.Muestra'!$F$8:$F$42)-MIN(ROW('03.Muestra'!$D$8:$D$42))+1,""),ROW()-1044)),"")</f>
        <v>https://www.portcastello.com/</v>
      </c>
      <c r="D1045" s="130" t="s">
        <v>37</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2" customHeight="1">
      <c r="A1046" s="219" t="n" cm="1">
        <f t="array" ref="A1046">IFERROR(INDEX('03.Muestra'!$B$8:$B$42,SMALL(IF("Página Web"='03.Muestra'!$D$8:$D$42,ROW('03.Muestra'!$B$8:$B$42)-MIN(ROW('03.Muestra'!$D$8:$D$42))+1,""),ROW()-1044)),"")</f>
        <v>1.0</v>
      </c>
      <c r="B1046" s="114" t="str" cm="1">
        <f t="array" ref="B1046">IFERROR(INDEX('03.Muestra'!$C$8:$C$42,SMALL(IF("Página Web"='03.Muestra'!$D$8:$D$42,ROW('03.Muestra'!$C$8:$C$42)-MIN(ROW('03.Muestra'!$D$8:$D$42))+1,""),ROW()-1044)),"")</f>
        <v>Home - PortCastelló</v>
      </c>
      <c r="C1046" s="114" t="str" cm="1">
        <f t="array" ref="C1046">IFERROR(INDEX('03.Muestra'!$F$8:$F$42,SMALL(IF("Página Web"='03.Muestra'!$D$8:$D$42,ROW('03.Muestra'!$F$8:$F$42)-MIN(ROW('03.Muestra'!$D$8:$D$42))+1,""),ROW()-1044)),"")</f>
        <v>https://www.portcastello.com/</v>
      </c>
      <c r="D1046" s="130" t="s">
        <v>37</v>
      </c>
      <c r="E1046" s="107" t="str">
        <f t="shared" si="54"/>
        <v/>
      </c>
      <c r="F1046" s="120" t="n">
        <f ca="1">COUNTIF($D1045:INDIRECT("$D" &amp;  SUM(ROW()-1,'03.Muestra'!$D$45)-1),F1045)</f>
        <v>0.0</v>
      </c>
      <c r="G1046" s="120" t="n">
        <f ca="1">COUNTIF($D1045:INDIRECT("$D" &amp;  SUM(ROW()-1,'03.Muestra'!$D$45)-1),G1045)</f>
        <v>33.0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IF(COUNTIF('03.Muestra'!$D$8:$D$42,"Página Web")=0,0,COUNTBLANK($D1045:INDIRECT("$D" &amp;  SUM(ROW()-1,COUNTIF('03.Muestra'!$D$8:$D$42,"Página Web"))-1)))</f>
        <v>0.0</v>
      </c>
      <c r="L1046" s="19"/>
      <c r="M1046" s="19"/>
      <c r="N1046" s="19"/>
      <c r="O1046" s="19"/>
      <c r="P1046" s="19"/>
      <c r="Q1046" s="19"/>
      <c r="R1046" s="19"/>
      <c r="S1046" s="19"/>
      <c r="T1046" s="19"/>
      <c r="U1046" s="19"/>
      <c r="V1046" s="19"/>
      <c r="W1046" s="19"/>
      <c r="X1046" s="19"/>
      <c r="Y1046" s="19"/>
    </row>
    <row r="1047" spans="1:25" ht="12" customHeight="1">
      <c r="A1047" s="219" t="n" cm="1">
        <f t="array" ref="A1047">IFERROR(INDEX('03.Muestra'!$B$8:$B$42,SMALL(IF("Página Web"='03.Muestra'!$D$8:$D$42,ROW('03.Muestra'!$B$8:$B$42)-MIN(ROW('03.Muestra'!$D$8:$D$42))+1,""),ROW()-1044)),"")</f>
        <v>1.0</v>
      </c>
      <c r="B1047" s="114" t="str" cm="1">
        <f t="array" ref="B1047">IFERROR(INDEX('03.Muestra'!$C$8:$C$42,SMALL(IF("Página Web"='03.Muestra'!$D$8:$D$42,ROW('03.Muestra'!$C$8:$C$42)-MIN(ROW('03.Muestra'!$D$8:$D$42))+1,""),ROW()-1044)),"")</f>
        <v>Home - PortCastelló</v>
      </c>
      <c r="C1047" s="114" t="str" cm="1">
        <f t="array" ref="C1047">IFERROR(INDEX('03.Muestra'!$F$8:$F$42,SMALL(IF("Página Web"='03.Muestra'!$D$8:$D$42,ROW('03.Muestra'!$F$8:$F$42)-MIN(ROW('03.Muestra'!$D$8:$D$42))+1,""),ROW()-1044)),"")</f>
        <v>https://www.portcastello.com/</v>
      </c>
      <c r="D1047" s="130" t="s">
        <v>37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t="n" cm="1">
        <f t="array" ref="A1048">IFERROR(INDEX('03.Muestra'!$B$8:$B$42,SMALL(IF("Página Web"='03.Muestra'!$D$8:$D$42,ROW('03.Muestra'!$B$8:$B$42)-MIN(ROW('03.Muestra'!$D$8:$D$42))+1,""),ROW()-1044)),"")</f>
        <v>1.0</v>
      </c>
      <c r="B1048" s="114" t="str" cm="1">
        <f t="array" ref="B1048">IFERROR(INDEX('03.Muestra'!$C$8:$C$42,SMALL(IF("Página Web"='03.Muestra'!$D$8:$D$42,ROW('03.Muestra'!$C$8:$C$42)-MIN(ROW('03.Muestra'!$D$8:$D$42))+1,""),ROW()-1044)),"")</f>
        <v>Home - PortCastelló</v>
      </c>
      <c r="C1048" s="114" t="str" cm="1">
        <f t="array" ref="C1048">IFERROR(INDEX('03.Muestra'!$F$8:$F$42,SMALL(IF("Página Web"='03.Muestra'!$D$8:$D$42,ROW('03.Muestra'!$F$8:$F$42)-MIN(ROW('03.Muestra'!$D$8:$D$42))+1,""),ROW()-1044)),"")</f>
        <v>https://www.portcastello.com/</v>
      </c>
      <c r="D1048" s="130" t="s">
        <v>37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t="n" cm="1">
        <f t="array" ref="A1049">IFERROR(INDEX('03.Muestra'!$B$8:$B$42,SMALL(IF("Página Web"='03.Muestra'!$D$8:$D$42,ROW('03.Muestra'!$B$8:$B$42)-MIN(ROW('03.Muestra'!$D$8:$D$42))+1,""),ROW()-1044)),"")</f>
        <v>1.0</v>
      </c>
      <c r="B1049" s="114" t="str" cm="1">
        <f t="array" ref="B1049">IFERROR(INDEX('03.Muestra'!$C$8:$C$42,SMALL(IF("Página Web"='03.Muestra'!$D$8:$D$42,ROW('03.Muestra'!$C$8:$C$42)-MIN(ROW('03.Muestra'!$D$8:$D$42))+1,""),ROW()-1044)),"")</f>
        <v>Home - PortCastelló</v>
      </c>
      <c r="C1049" s="114" t="str" cm="1">
        <f t="array" ref="C1049">IFERROR(INDEX('03.Muestra'!$F$8:$F$42,SMALL(IF("Página Web"='03.Muestra'!$D$8:$D$42,ROW('03.Muestra'!$F$8:$F$42)-MIN(ROW('03.Muestra'!$D$8:$D$42))+1,""),ROW()-1044)),"")</f>
        <v>https://www.portcastello.com/</v>
      </c>
      <c r="D1049" s="130" t="s">
        <v>37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t="n" cm="1">
        <f t="array" ref="A1050">IFERROR(INDEX('03.Muestra'!$B$8:$B$42,SMALL(IF("Página Web"='03.Muestra'!$D$8:$D$42,ROW('03.Muestra'!$B$8:$B$42)-MIN(ROW('03.Muestra'!$D$8:$D$42))+1,""),ROW()-1044)),"")</f>
        <v>1.0</v>
      </c>
      <c r="B1050" s="114" t="str" cm="1">
        <f t="array" ref="B1050">IFERROR(INDEX('03.Muestra'!$C$8:$C$42,SMALL(IF("Página Web"='03.Muestra'!$D$8:$D$42,ROW('03.Muestra'!$C$8:$C$42)-MIN(ROW('03.Muestra'!$D$8:$D$42))+1,""),ROW()-1044)),"")</f>
        <v>Home - PortCastelló</v>
      </c>
      <c r="C1050" s="114" t="str" cm="1">
        <f t="array" ref="C1050">IFERROR(INDEX('03.Muestra'!$F$8:$F$42,SMALL(IF("Página Web"='03.Muestra'!$D$8:$D$42,ROW('03.Muestra'!$F$8:$F$42)-MIN(ROW('03.Muestra'!$D$8:$D$42))+1,""),ROW()-1044)),"")</f>
        <v>https://www.portcastello.com/</v>
      </c>
      <c r="D1050" s="130" t="s">
        <v>37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t="n" cm="1">
        <f t="array" ref="A1051">IFERROR(INDEX('03.Muestra'!$B$8:$B$42,SMALL(IF("Página Web"='03.Muestra'!$D$8:$D$42,ROW('03.Muestra'!$B$8:$B$42)-MIN(ROW('03.Muestra'!$D$8:$D$42))+1,""),ROW()-1044)),"")</f>
        <v>1.0</v>
      </c>
      <c r="B1051" s="114" t="str" cm="1">
        <f t="array" ref="B1051">IFERROR(INDEX('03.Muestra'!$C$8:$C$42,SMALL(IF("Página Web"='03.Muestra'!$D$8:$D$42,ROW('03.Muestra'!$C$8:$C$42)-MIN(ROW('03.Muestra'!$D$8:$D$42))+1,""),ROW()-1044)),"")</f>
        <v>Home - PortCastelló</v>
      </c>
      <c r="C1051" s="114" t="str" cm="1">
        <f t="array" ref="C1051">IFERROR(INDEX('03.Muestra'!$F$8:$F$42,SMALL(IF("Página Web"='03.Muestra'!$D$8:$D$42,ROW('03.Muestra'!$F$8:$F$42)-MIN(ROW('03.Muestra'!$D$8:$D$42))+1,""),ROW()-1044)),"")</f>
        <v>https://www.portcastello.com/</v>
      </c>
      <c r="D1051" s="130" t="s">
        <v>37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t="n" cm="1">
        <f t="array" ref="A1052">IFERROR(INDEX('03.Muestra'!$B$8:$B$42,SMALL(IF("Página Web"='03.Muestra'!$D$8:$D$42,ROW('03.Muestra'!$B$8:$B$42)-MIN(ROW('03.Muestra'!$D$8:$D$42))+1,""),ROW()-1044)),"")</f>
        <v>1.0</v>
      </c>
      <c r="B1052" s="114" t="str" cm="1">
        <f t="array" ref="B1052">IFERROR(INDEX('03.Muestra'!$C$8:$C$42,SMALL(IF("Página Web"='03.Muestra'!$D$8:$D$42,ROW('03.Muestra'!$C$8:$C$42)-MIN(ROW('03.Muestra'!$D$8:$D$42))+1,""),ROW()-1044)),"")</f>
        <v>Home - PortCastelló</v>
      </c>
      <c r="C1052" s="114" t="str" cm="1">
        <f t="array" ref="C1052">IFERROR(INDEX('03.Muestra'!$F$8:$F$42,SMALL(IF("Página Web"='03.Muestra'!$D$8:$D$42,ROW('03.Muestra'!$F$8:$F$42)-MIN(ROW('03.Muestra'!$D$8:$D$42))+1,""),ROW()-1044)),"")</f>
        <v>https://www.portcastello.com/</v>
      </c>
      <c r="D1052" s="130" t="s">
        <v>37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n" cm="1">
        <f t="array" ref="A1053">IFERROR(INDEX('03.Muestra'!$B$8:$B$42,SMALL(IF("Página Web"='03.Muestra'!$D$8:$D$42,ROW('03.Muestra'!$B$8:$B$42)-MIN(ROW('03.Muestra'!$D$8:$D$42))+1,""),ROW()-1044)),"")</f>
        <v>1.0</v>
      </c>
      <c r="B1053" s="114" t="str" cm="1">
        <f t="array" ref="B1053">IFERROR(INDEX('03.Muestra'!$C$8:$C$42,SMALL(IF("Página Web"='03.Muestra'!$D$8:$D$42,ROW('03.Muestra'!$C$8:$C$42)-MIN(ROW('03.Muestra'!$D$8:$D$42))+1,""),ROW()-1044)),"")</f>
        <v>Home - PortCastelló</v>
      </c>
      <c r="C1053" s="114" t="str" cm="1">
        <f t="array" ref="C1053">IFERROR(INDEX('03.Muestra'!$F$8:$F$42,SMALL(IF("Página Web"='03.Muestra'!$D$8:$D$42,ROW('03.Muestra'!$F$8:$F$42)-MIN(ROW('03.Muestra'!$D$8:$D$42))+1,""),ROW()-1044)),"")</f>
        <v>https://www.portcastello.com/</v>
      </c>
      <c r="D1053" s="130" t="s">
        <v>37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n"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Home - PortCastelló</v>
      </c>
      <c r="C1054" s="114" t="str" cm="1">
        <f t="array" ref="C1054">IFERROR(INDEX('03.Muestra'!$F$8:$F$42,SMALL(IF("Página Web"='03.Muestra'!$D$8:$D$42,ROW('03.Muestra'!$F$8:$F$42)-MIN(ROW('03.Muestra'!$D$8:$D$42))+1,""),ROW()-1044)),"")</f>
        <v>https://www.portcastello.com/</v>
      </c>
      <c r="D1054" s="130" t="s">
        <v>37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n" cm="1">
        <f t="array" ref="A1055">IFERROR(INDEX('03.Muestra'!$B$8:$B$42,SMALL(IF("Página Web"='03.Muestra'!$D$8:$D$42,ROW('03.Muestra'!$B$8:$B$42)-MIN(ROW('03.Muestra'!$D$8:$D$42))+1,""),ROW()-1044)),"")</f>
        <v>1.0</v>
      </c>
      <c r="B1055" s="114" t="str" cm="1">
        <f t="array" ref="B1055">IFERROR(INDEX('03.Muestra'!$C$8:$C$42,SMALL(IF("Página Web"='03.Muestra'!$D$8:$D$42,ROW('03.Muestra'!$C$8:$C$42)-MIN(ROW('03.Muestra'!$D$8:$D$42))+1,""),ROW()-1044)),"")</f>
        <v>Home - PortCastelló</v>
      </c>
      <c r="C1055" s="114" t="str" cm="1">
        <f t="array" ref="C1055">IFERROR(INDEX('03.Muestra'!$F$8:$F$42,SMALL(IF("Página Web"='03.Muestra'!$D$8:$D$42,ROW('03.Muestra'!$F$8:$F$42)-MIN(ROW('03.Muestra'!$D$8:$D$42))+1,""),ROW()-1044)),"")</f>
        <v>https://www.portcastello.com/</v>
      </c>
      <c r="D1055" s="130" t="s">
        <v>37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n" cm="1">
        <f t="array" ref="A1056">IFERROR(INDEX('03.Muestra'!$B$8:$B$42,SMALL(IF("Página Web"='03.Muestra'!$D$8:$D$42,ROW('03.Muestra'!$B$8:$B$42)-MIN(ROW('03.Muestra'!$D$8:$D$42))+1,""),ROW()-1044)),"")</f>
        <v>1.0</v>
      </c>
      <c r="B1056" s="114" t="str" cm="1">
        <f t="array" ref="B1056">IFERROR(INDEX('03.Muestra'!$C$8:$C$42,SMALL(IF("Página Web"='03.Muestra'!$D$8:$D$42,ROW('03.Muestra'!$C$8:$C$42)-MIN(ROW('03.Muestra'!$D$8:$D$42))+1,""),ROW()-1044)),"")</f>
        <v>Home - PortCastelló</v>
      </c>
      <c r="C1056" s="114" t="str" cm="1">
        <f t="array" ref="C1056">IFERROR(INDEX('03.Muestra'!$F$8:$F$42,SMALL(IF("Página Web"='03.Muestra'!$D$8:$D$42,ROW('03.Muestra'!$F$8:$F$42)-MIN(ROW('03.Muestra'!$D$8:$D$42))+1,""),ROW()-1044)),"")</f>
        <v>https://www.portcastello.com/</v>
      </c>
      <c r="D1056" s="130" t="s">
        <v>37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n" cm="1">
        <f t="array" ref="A1057">IFERROR(INDEX('03.Muestra'!$B$8:$B$42,SMALL(IF("Página Web"='03.Muestra'!$D$8:$D$42,ROW('03.Muestra'!$B$8:$B$42)-MIN(ROW('03.Muestra'!$D$8:$D$42))+1,""),ROW()-1044)),"")</f>
        <v>1.0</v>
      </c>
      <c r="B1057" s="114" t="str" cm="1">
        <f t="array" ref="B1057">IFERROR(INDEX('03.Muestra'!$C$8:$C$42,SMALL(IF("Página Web"='03.Muestra'!$D$8:$D$42,ROW('03.Muestra'!$C$8:$C$42)-MIN(ROW('03.Muestra'!$D$8:$D$42))+1,""),ROW()-1044)),"")</f>
        <v>Home - PortCastelló</v>
      </c>
      <c r="C1057" s="114" t="str" cm="1">
        <f t="array" ref="C1057">IFERROR(INDEX('03.Muestra'!$F$8:$F$42,SMALL(IF("Página Web"='03.Muestra'!$D$8:$D$42,ROW('03.Muestra'!$F$8:$F$42)-MIN(ROW('03.Muestra'!$D$8:$D$42))+1,""),ROW()-1044)),"")</f>
        <v>https://www.portcastello.com/</v>
      </c>
      <c r="D1057" s="130" t="s">
        <v>37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n" cm="1">
        <f t="array" ref="A1058">IFERROR(INDEX('03.Muestra'!$B$8:$B$42,SMALL(IF("Página Web"='03.Muestra'!$D$8:$D$42,ROW('03.Muestra'!$B$8:$B$42)-MIN(ROW('03.Muestra'!$D$8:$D$42))+1,""),ROW()-1044)),"")</f>
        <v>1.0</v>
      </c>
      <c r="B1058" s="114" t="str" cm="1">
        <f t="array" ref="B1058">IFERROR(INDEX('03.Muestra'!$C$8:$C$42,SMALL(IF("Página Web"='03.Muestra'!$D$8:$D$42,ROW('03.Muestra'!$C$8:$C$42)-MIN(ROW('03.Muestra'!$D$8:$D$42))+1,""),ROW()-1044)),"")</f>
        <v>Home - PortCastelló</v>
      </c>
      <c r="C1058" s="114" t="str" cm="1">
        <f t="array" ref="C1058">IFERROR(INDEX('03.Muestra'!$F$8:$F$42,SMALL(IF("Página Web"='03.Muestra'!$D$8:$D$42,ROW('03.Muestra'!$F$8:$F$42)-MIN(ROW('03.Muestra'!$D$8:$D$42))+1,""),ROW()-1044)),"")</f>
        <v>https://www.portcastello.com/</v>
      </c>
      <c r="D1058" s="130" t="s">
        <v>37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n" cm="1">
        <f t="array" ref="A1059">IFERROR(INDEX('03.Muestra'!$B$8:$B$42,SMALL(IF("Página Web"='03.Muestra'!$D$8:$D$42,ROW('03.Muestra'!$B$8:$B$42)-MIN(ROW('03.Muestra'!$D$8:$D$42))+1,""),ROW()-1044)),"")</f>
        <v>1.0</v>
      </c>
      <c r="B1059" s="114" t="str" cm="1">
        <f t="array" ref="B1059">IFERROR(INDEX('03.Muestra'!$C$8:$C$42,SMALL(IF("Página Web"='03.Muestra'!$D$8:$D$42,ROW('03.Muestra'!$C$8:$C$42)-MIN(ROW('03.Muestra'!$D$8:$D$42))+1,""),ROW()-1044)),"")</f>
        <v>Home - PortCastelló</v>
      </c>
      <c r="C1059" s="114" t="str" cm="1">
        <f t="array" ref="C1059">IFERROR(INDEX('03.Muestra'!$F$8:$F$42,SMALL(IF("Página Web"='03.Muestra'!$D$8:$D$42,ROW('03.Muestra'!$F$8:$F$42)-MIN(ROW('03.Muestra'!$D$8:$D$42))+1,""),ROW()-1044)),"")</f>
        <v>https://www.portcastello.com/</v>
      </c>
      <c r="D1059" s="130" t="s">
        <v>37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n" cm="1">
        <f t="array" ref="A1060">IFERROR(INDEX('03.Muestra'!$B$8:$B$42,SMALL(IF("Página Web"='03.Muestra'!$D$8:$D$42,ROW('03.Muestra'!$B$8:$B$42)-MIN(ROW('03.Muestra'!$D$8:$D$42))+1,""),ROW()-1044)),"")</f>
        <v>1.0</v>
      </c>
      <c r="B1060" s="114" t="str" cm="1">
        <f t="array" ref="B1060">IFERROR(INDEX('03.Muestra'!$C$8:$C$42,SMALL(IF("Página Web"='03.Muestra'!$D$8:$D$42,ROW('03.Muestra'!$C$8:$C$42)-MIN(ROW('03.Muestra'!$D$8:$D$42))+1,""),ROW()-1044)),"")</f>
        <v>Home - PortCastelló</v>
      </c>
      <c r="C1060" s="114" t="str" cm="1">
        <f t="array" ref="C1060">IFERROR(INDEX('03.Muestra'!$F$8:$F$42,SMALL(IF("Página Web"='03.Muestra'!$D$8:$D$42,ROW('03.Muestra'!$F$8:$F$42)-MIN(ROW('03.Muestra'!$D$8:$D$42))+1,""),ROW()-1044)),"")</f>
        <v>https://www.portcastello.com/</v>
      </c>
      <c r="D1060" s="130" t="s">
        <v>37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n" cm="1">
        <f t="array" ref="A1061">IFERROR(INDEX('03.Muestra'!$B$8:$B$42,SMALL(IF("Página Web"='03.Muestra'!$D$8:$D$42,ROW('03.Muestra'!$B$8:$B$42)-MIN(ROW('03.Muestra'!$D$8:$D$42))+1,""),ROW()-1044)),"")</f>
        <v>1.0</v>
      </c>
      <c r="B1061" s="114" t="str" cm="1">
        <f t="array" ref="B1061">IFERROR(INDEX('03.Muestra'!$C$8:$C$42,SMALL(IF("Página Web"='03.Muestra'!$D$8:$D$42,ROW('03.Muestra'!$C$8:$C$42)-MIN(ROW('03.Muestra'!$D$8:$D$42))+1,""),ROW()-1044)),"")</f>
        <v>Home - PortCastelló</v>
      </c>
      <c r="C1061" s="114" t="str" cm="1">
        <f t="array" ref="C1061">IFERROR(INDEX('03.Muestra'!$F$8:$F$42,SMALL(IF("Página Web"='03.Muestra'!$D$8:$D$42,ROW('03.Muestra'!$F$8:$F$42)-MIN(ROW('03.Muestra'!$D$8:$D$42))+1,""),ROW()-1044)),"")</f>
        <v>https://www.portcastello.com/</v>
      </c>
      <c r="D1061" s="130" t="s">
        <v>37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n" cm="1">
        <f t="array" ref="A1062">IFERROR(INDEX('03.Muestra'!$B$8:$B$42,SMALL(IF("Página Web"='03.Muestra'!$D$8:$D$42,ROW('03.Muestra'!$B$8:$B$42)-MIN(ROW('03.Muestra'!$D$8:$D$42))+1,""),ROW()-1044)),"")</f>
        <v>1.0</v>
      </c>
      <c r="B1062" s="114" t="str" cm="1">
        <f t="array" ref="B1062">IFERROR(INDEX('03.Muestra'!$C$8:$C$42,SMALL(IF("Página Web"='03.Muestra'!$D$8:$D$42,ROW('03.Muestra'!$C$8:$C$42)-MIN(ROW('03.Muestra'!$D$8:$D$42))+1,""),ROW()-1044)),"")</f>
        <v>Home - PortCastelló</v>
      </c>
      <c r="C1062" s="114" t="str" cm="1">
        <f t="array" ref="C1062">IFERROR(INDEX('03.Muestra'!$F$8:$F$42,SMALL(IF("Página Web"='03.Muestra'!$D$8:$D$42,ROW('03.Muestra'!$F$8:$F$42)-MIN(ROW('03.Muestra'!$D$8:$D$42))+1,""),ROW()-1044)),"")</f>
        <v>https://www.portcastello.com/</v>
      </c>
      <c r="D1062" s="130" t="s">
        <v>37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n" cm="1">
        <f t="array" ref="A1063">IFERROR(INDEX('03.Muestra'!$B$8:$B$42,SMALL(IF("Página Web"='03.Muestra'!$D$8:$D$42,ROW('03.Muestra'!$B$8:$B$42)-MIN(ROW('03.Muestra'!$D$8:$D$42))+1,""),ROW()-1044)),"")</f>
        <v>1.0</v>
      </c>
      <c r="B1063" s="114" t="str" cm="1">
        <f t="array" ref="B1063">IFERROR(INDEX('03.Muestra'!$C$8:$C$42,SMALL(IF("Página Web"='03.Muestra'!$D$8:$D$42,ROW('03.Muestra'!$C$8:$C$42)-MIN(ROW('03.Muestra'!$D$8:$D$42))+1,""),ROW()-1044)),"")</f>
        <v>Home - PortCastelló</v>
      </c>
      <c r="C1063" s="114" t="str" cm="1">
        <f t="array" ref="C1063">IFERROR(INDEX('03.Muestra'!$F$8:$F$42,SMALL(IF("Página Web"='03.Muestra'!$D$8:$D$42,ROW('03.Muestra'!$F$8:$F$42)-MIN(ROW('03.Muestra'!$D$8:$D$42))+1,""),ROW()-1044)),"")</f>
        <v>https://www.portcastello.com/</v>
      </c>
      <c r="D1063" s="130" t="s">
        <v>37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n" cm="1">
        <f t="array" ref="A1064">IFERROR(INDEX('03.Muestra'!$B$8:$B$42,SMALL(IF("Página Web"='03.Muestra'!$D$8:$D$42,ROW('03.Muestra'!$B$8:$B$42)-MIN(ROW('03.Muestra'!$D$8:$D$42))+1,""),ROW()-1044)),"")</f>
        <v>1.0</v>
      </c>
      <c r="B1064" s="114" t="str" cm="1">
        <f t="array" ref="B1064">IFERROR(INDEX('03.Muestra'!$C$8:$C$42,SMALL(IF("Página Web"='03.Muestra'!$D$8:$D$42,ROW('03.Muestra'!$C$8:$C$42)-MIN(ROW('03.Muestra'!$D$8:$D$42))+1,""),ROW()-1044)),"")</f>
        <v>Home - PortCastelló</v>
      </c>
      <c r="C1064" s="114" t="str" cm="1">
        <f t="array" ref="C1064">IFERROR(INDEX('03.Muestra'!$F$8:$F$42,SMALL(IF("Página Web"='03.Muestra'!$D$8:$D$42,ROW('03.Muestra'!$F$8:$F$42)-MIN(ROW('03.Muestra'!$D$8:$D$42))+1,""),ROW()-1044)),"")</f>
        <v>https://www.portcastello.com/</v>
      </c>
      <c r="D1064" s="130" t="s">
        <v>37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n" cm="1">
        <f t="array" ref="A1065">IFERROR(INDEX('03.Muestra'!$B$8:$B$42,SMALL(IF("Página Web"='03.Muestra'!$D$8:$D$42,ROW('03.Muestra'!$B$8:$B$42)-MIN(ROW('03.Muestra'!$D$8:$D$42))+1,""),ROW()-1044)),"")</f>
        <v>1.0</v>
      </c>
      <c r="B1065" s="114" t="str" cm="1">
        <f t="array" ref="B1065">IFERROR(INDEX('03.Muestra'!$C$8:$C$42,SMALL(IF("Página Web"='03.Muestra'!$D$8:$D$42,ROW('03.Muestra'!$C$8:$C$42)-MIN(ROW('03.Muestra'!$D$8:$D$42))+1,""),ROW()-1044)),"")</f>
        <v>Home - PortCastelló</v>
      </c>
      <c r="C1065" s="114" t="str" cm="1">
        <f t="array" ref="C1065">IFERROR(INDEX('03.Muestra'!$F$8:$F$42,SMALL(IF("Página Web"='03.Muestra'!$D$8:$D$42,ROW('03.Muestra'!$F$8:$F$42)-MIN(ROW('03.Muestra'!$D$8:$D$42))+1,""),ROW()-1044)),"")</f>
        <v>https://www.portcastello.com/</v>
      </c>
      <c r="D1065" s="130" t="s">
        <v>37</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n" cm="1">
        <f t="array" ref="A1066">IFERROR(INDEX('03.Muestra'!$B$8:$B$42,SMALL(IF("Página Web"='03.Muestra'!$D$8:$D$42,ROW('03.Muestra'!$B$8:$B$42)-MIN(ROW('03.Muestra'!$D$8:$D$42))+1,""),ROW()-1044)),"")</f>
        <v>1.0</v>
      </c>
      <c r="B1066" s="114" t="str" cm="1">
        <f t="array" ref="B1066">IFERROR(INDEX('03.Muestra'!$C$8:$C$42,SMALL(IF("Página Web"='03.Muestra'!$D$8:$D$42,ROW('03.Muestra'!$C$8:$C$42)-MIN(ROW('03.Muestra'!$D$8:$D$42))+1,""),ROW()-1044)),"")</f>
        <v>Home - PortCastelló</v>
      </c>
      <c r="C1066" s="114" t="str" cm="1">
        <f t="array" ref="C1066">IFERROR(INDEX('03.Muestra'!$F$8:$F$42,SMALL(IF("Página Web"='03.Muestra'!$D$8:$D$42,ROW('03.Muestra'!$F$8:$F$42)-MIN(ROW('03.Muestra'!$D$8:$D$42))+1,""),ROW()-1044)),"")</f>
        <v>https://www.portcastello.com/</v>
      </c>
      <c r="D1066" s="130" t="s">
        <v>37</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n" cm="1">
        <f t="array" ref="A1067">IFERROR(INDEX('03.Muestra'!$B$8:$B$42,SMALL(IF("Página Web"='03.Muestra'!$D$8:$D$42,ROW('03.Muestra'!$B$8:$B$42)-MIN(ROW('03.Muestra'!$D$8:$D$42))+1,""),ROW()-1044)),"")</f>
        <v>1.0</v>
      </c>
      <c r="B1067" s="114" t="str" cm="1">
        <f t="array" ref="B1067">IFERROR(INDEX('03.Muestra'!$C$8:$C$42,SMALL(IF("Página Web"='03.Muestra'!$D$8:$D$42,ROW('03.Muestra'!$C$8:$C$42)-MIN(ROW('03.Muestra'!$D$8:$D$42))+1,""),ROW()-1044)),"")</f>
        <v>Home - PortCastelló</v>
      </c>
      <c r="C1067" s="114" t="str" cm="1">
        <f t="array" ref="C1067">IFERROR(INDEX('03.Muestra'!$F$8:$F$42,SMALL(IF("Página Web"='03.Muestra'!$D$8:$D$42,ROW('03.Muestra'!$F$8:$F$42)-MIN(ROW('03.Muestra'!$D$8:$D$42))+1,""),ROW()-1044)),"")</f>
        <v>https://www.portcastello.com/</v>
      </c>
      <c r="D1067" s="130" t="s">
        <v>37</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n" cm="1">
        <f t="array" ref="A1068">IFERROR(INDEX('03.Muestra'!$B$8:$B$42,SMALL(IF("Página Web"='03.Muestra'!$D$8:$D$42,ROW('03.Muestra'!$B$8:$B$42)-MIN(ROW('03.Muestra'!$D$8:$D$42))+1,""),ROW()-1044)),"")</f>
        <v>1.0</v>
      </c>
      <c r="B1068" s="114" t="str" cm="1">
        <f t="array" ref="B1068">IFERROR(INDEX('03.Muestra'!$C$8:$C$42,SMALL(IF("Página Web"='03.Muestra'!$D$8:$D$42,ROW('03.Muestra'!$C$8:$C$42)-MIN(ROW('03.Muestra'!$D$8:$D$42))+1,""),ROW()-1044)),"")</f>
        <v>Home - PortCastelló</v>
      </c>
      <c r="C1068" s="114" t="str" cm="1">
        <f t="array" ref="C1068">IFERROR(INDEX('03.Muestra'!$F$8:$F$42,SMALL(IF("Página Web"='03.Muestra'!$D$8:$D$42,ROW('03.Muestra'!$F$8:$F$42)-MIN(ROW('03.Muestra'!$D$8:$D$42))+1,""),ROW()-1044)),"")</f>
        <v>https://www.portcastello.com/</v>
      </c>
      <c r="D1068" s="130" t="s">
        <v>37</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n" cm="1">
        <f t="array" ref="A1069">IFERROR(INDEX('03.Muestra'!$B$8:$B$42,SMALL(IF("Página Web"='03.Muestra'!$D$8:$D$42,ROW('03.Muestra'!$B$8:$B$42)-MIN(ROW('03.Muestra'!$D$8:$D$42))+1,""),ROW()-1044)),"")</f>
        <v>1.0</v>
      </c>
      <c r="B1069" s="114" t="str" cm="1">
        <f t="array" ref="B1069">IFERROR(INDEX('03.Muestra'!$C$8:$C$42,SMALL(IF("Página Web"='03.Muestra'!$D$8:$D$42,ROW('03.Muestra'!$C$8:$C$42)-MIN(ROW('03.Muestra'!$D$8:$D$42))+1,""),ROW()-1044)),"")</f>
        <v>Home - PortCastelló</v>
      </c>
      <c r="C1069" s="114" t="str" cm="1">
        <f t="array" ref="C1069">IFERROR(INDEX('03.Muestra'!$F$8:$F$42,SMALL(IF("Página Web"='03.Muestra'!$D$8:$D$42,ROW('03.Muestra'!$F$8:$F$42)-MIN(ROW('03.Muestra'!$D$8:$D$42))+1,""),ROW()-1044)),"")</f>
        <v>https://www.portcastello.com/</v>
      </c>
      <c r="D1069" s="130" t="s">
        <v>37</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n" cm="1">
        <f t="array" ref="A1070">IFERROR(INDEX('03.Muestra'!$B$8:$B$42,SMALL(IF("Página Web"='03.Muestra'!$D$8:$D$42,ROW('03.Muestra'!$B$8:$B$42)-MIN(ROW('03.Muestra'!$D$8:$D$42))+1,""),ROW()-1044)),"")</f>
        <v>1.0</v>
      </c>
      <c r="B1070" s="114" t="str" cm="1">
        <f t="array" ref="B1070">IFERROR(INDEX('03.Muestra'!$C$8:$C$42,SMALL(IF("Página Web"='03.Muestra'!$D$8:$D$42,ROW('03.Muestra'!$C$8:$C$42)-MIN(ROW('03.Muestra'!$D$8:$D$42))+1,""),ROW()-1044)),"")</f>
        <v>Home - PortCastelló</v>
      </c>
      <c r="C1070" s="114" t="str" cm="1">
        <f t="array" ref="C1070">IFERROR(INDEX('03.Muestra'!$F$8:$F$42,SMALL(IF("Página Web"='03.Muestra'!$D$8:$D$42,ROW('03.Muestra'!$F$8:$F$42)-MIN(ROW('03.Muestra'!$D$8:$D$42))+1,""),ROW()-1044)),"")</f>
        <v>https://www.portcastello.com/</v>
      </c>
      <c r="D1070" s="130" t="s">
        <v>37</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n" cm="1">
        <f t="array" ref="A1071">IFERROR(INDEX('03.Muestra'!$B$8:$B$42,SMALL(IF("Página Web"='03.Muestra'!$D$8:$D$42,ROW('03.Muestra'!$B$8:$B$42)-MIN(ROW('03.Muestra'!$D$8:$D$42))+1,""),ROW()-1044)),"")</f>
        <v>1.0</v>
      </c>
      <c r="B1071" s="114" t="str" cm="1">
        <f t="array" ref="B1071">IFERROR(INDEX('03.Muestra'!$C$8:$C$42,SMALL(IF("Página Web"='03.Muestra'!$D$8:$D$42,ROW('03.Muestra'!$C$8:$C$42)-MIN(ROW('03.Muestra'!$D$8:$D$42))+1,""),ROW()-1044)),"")</f>
        <v>Home - PortCastelló</v>
      </c>
      <c r="C1071" s="114" t="str" cm="1">
        <f t="array" ref="C1071">IFERROR(INDEX('03.Muestra'!$F$8:$F$42,SMALL(IF("Página Web"='03.Muestra'!$D$8:$D$42,ROW('03.Muestra'!$F$8:$F$42)-MIN(ROW('03.Muestra'!$D$8:$D$42))+1,""),ROW()-1044)),"")</f>
        <v>https://www.portcastello.com/</v>
      </c>
      <c r="D1071" s="130" t="s">
        <v>37</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n" cm="1">
        <f t="array" ref="A1072">IFERROR(INDEX('03.Muestra'!$B$8:$B$42,SMALL(IF("Página Web"='03.Muestra'!$D$8:$D$42,ROW('03.Muestra'!$B$8:$B$42)-MIN(ROW('03.Muestra'!$D$8:$D$42))+1,""),ROW()-1044)),"")</f>
        <v>1.0</v>
      </c>
      <c r="B1072" s="114" t="str" cm="1">
        <f t="array" ref="B1072">IFERROR(INDEX('03.Muestra'!$C$8:$C$42,SMALL(IF("Página Web"='03.Muestra'!$D$8:$D$42,ROW('03.Muestra'!$C$8:$C$42)-MIN(ROW('03.Muestra'!$D$8:$D$42))+1,""),ROW()-1044)),"")</f>
        <v>Home - PortCastelló</v>
      </c>
      <c r="C1072" s="114" t="str" cm="1">
        <f t="array" ref="C1072">IFERROR(INDEX('03.Muestra'!$F$8:$F$42,SMALL(IF("Página Web"='03.Muestra'!$D$8:$D$42,ROW('03.Muestra'!$F$8:$F$42)-MIN(ROW('03.Muestra'!$D$8:$D$42))+1,""),ROW()-1044)),"")</f>
        <v>https://www.portcastello.com/</v>
      </c>
      <c r="D1072" s="130" t="s">
        <v>37</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n" cm="1">
        <f t="array" ref="A1073">IFERROR(INDEX('03.Muestra'!$B$8:$B$42,SMALL(IF("Página Web"='03.Muestra'!$D$8:$D$42,ROW('03.Muestra'!$B$8:$B$42)-MIN(ROW('03.Muestra'!$D$8:$D$42))+1,""),ROW()-1044)),"")</f>
        <v>1.0</v>
      </c>
      <c r="B1073" s="114" t="str" cm="1">
        <f t="array" ref="B1073">IFERROR(INDEX('03.Muestra'!$C$8:$C$42,SMALL(IF("Página Web"='03.Muestra'!$D$8:$D$42,ROW('03.Muestra'!$C$8:$C$42)-MIN(ROW('03.Muestra'!$D$8:$D$42))+1,""),ROW()-1044)),"")</f>
        <v>Home - PortCastelló</v>
      </c>
      <c r="C1073" s="114" t="str" cm="1">
        <f t="array" ref="C1073">IFERROR(INDEX('03.Muestra'!$F$8:$F$42,SMALL(IF("Página Web"='03.Muestra'!$D$8:$D$42,ROW('03.Muestra'!$F$8:$F$42)-MIN(ROW('03.Muestra'!$D$8:$D$42))+1,""),ROW()-1044)),"")</f>
        <v>https://www.portcastello.com/</v>
      </c>
      <c r="D1073" s="130" t="s">
        <v>37</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n" cm="1">
        <f t="array" ref="A1074">IFERROR(INDEX('03.Muestra'!$B$8:$B$42,SMALL(IF("Página Web"='03.Muestra'!$D$8:$D$42,ROW('03.Muestra'!$B$8:$B$42)-MIN(ROW('03.Muestra'!$D$8:$D$42))+1,""),ROW()-1044)),"")</f>
        <v>1.0</v>
      </c>
      <c r="B1074" s="114" t="str" cm="1">
        <f t="array" ref="B1074">IFERROR(INDEX('03.Muestra'!$C$8:$C$42,SMALL(IF("Página Web"='03.Muestra'!$D$8:$D$42,ROW('03.Muestra'!$C$8:$C$42)-MIN(ROW('03.Muestra'!$D$8:$D$42))+1,""),ROW()-1044)),"")</f>
        <v>Home - PortCastelló</v>
      </c>
      <c r="C1074" s="114" t="str" cm="1">
        <f t="array" ref="C1074">IFERROR(INDEX('03.Muestra'!$F$8:$F$42,SMALL(IF("Página Web"='03.Muestra'!$D$8:$D$42,ROW('03.Muestra'!$F$8:$F$42)-MIN(ROW('03.Muestra'!$D$8:$D$42))+1,""),ROW()-1044)),"")</f>
        <v>https://www.portcastello.com/</v>
      </c>
      <c r="D1074" s="130" t="s">
        <v>37</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n" cm="1">
        <f t="array" ref="A1075">IFERROR(INDEX('03.Muestra'!$B$8:$B$42,SMALL(IF("Página Web"='03.Muestra'!$D$8:$D$42,ROW('03.Muestra'!$B$8:$B$42)-MIN(ROW('03.Muestra'!$D$8:$D$42))+1,""),ROW()-1044)),"")</f>
        <v>1.0</v>
      </c>
      <c r="B1075" s="114" t="str" cm="1">
        <f t="array" ref="B1075">IFERROR(INDEX('03.Muestra'!$C$8:$C$42,SMALL(IF("Página Web"='03.Muestra'!$D$8:$D$42,ROW('03.Muestra'!$C$8:$C$42)-MIN(ROW('03.Muestra'!$D$8:$D$42))+1,""),ROW()-1044)),"")</f>
        <v>Home - PortCastelló</v>
      </c>
      <c r="C1075" s="114" t="str" cm="1">
        <f t="array" ref="C1075">IFERROR(INDEX('03.Muestra'!$F$8:$F$42,SMALL(IF("Página Web"='03.Muestra'!$D$8:$D$42,ROW('03.Muestra'!$F$8:$F$42)-MIN(ROW('03.Muestra'!$D$8:$D$42))+1,""),ROW()-1044)),"")</f>
        <v>https://www.portcastello.com/</v>
      </c>
      <c r="D1075" s="130" t="s">
        <v>37</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n" cm="1">
        <f t="array" ref="A1076">IFERROR(INDEX('03.Muestra'!$B$8:$B$42,SMALL(IF("Página Web"='03.Muestra'!$D$8:$D$42,ROW('03.Muestra'!$B$8:$B$42)-MIN(ROW('03.Muestra'!$D$8:$D$42))+1,""),ROW()-1044)),"")</f>
        <v>1.0</v>
      </c>
      <c r="B1076" s="114" t="str" cm="1">
        <f t="array" ref="B1076">IFERROR(INDEX('03.Muestra'!$C$8:$C$42,SMALL(IF("Página Web"='03.Muestra'!$D$8:$D$42,ROW('03.Muestra'!$C$8:$C$42)-MIN(ROW('03.Muestra'!$D$8:$D$42))+1,""),ROW()-1044)),"")</f>
        <v>Home - PortCastelló</v>
      </c>
      <c r="C1076" s="114" t="str" cm="1">
        <f t="array" ref="C1076">IFERROR(INDEX('03.Muestra'!$F$8:$F$42,SMALL(IF("Página Web"='03.Muestra'!$D$8:$D$42,ROW('03.Muestra'!$F$8:$F$42)-MIN(ROW('03.Muestra'!$D$8:$D$42))+1,""),ROW()-1044)),"")</f>
        <v>https://www.portcastello.com/</v>
      </c>
      <c r="D1076" s="130" t="s">
        <v>37</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n" cm="1">
        <f t="array" ref="A1077">IFERROR(INDEX('03.Muestra'!$B$8:$B$42,SMALL(IF("Página Web"='03.Muestra'!$D$8:$D$42,ROW('03.Muestra'!$B$8:$B$42)-MIN(ROW('03.Muestra'!$D$8:$D$42))+1,""),ROW()-1044)),"")</f>
        <v>1.0</v>
      </c>
      <c r="B1077" s="114" t="str" cm="1">
        <f t="array" ref="B1077">IFERROR(INDEX('03.Muestra'!$C$8:$C$42,SMALL(IF("Página Web"='03.Muestra'!$D$8:$D$42,ROW('03.Muestra'!$C$8:$C$42)-MIN(ROW('03.Muestra'!$D$8:$D$42))+1,""),ROW()-1044)),"")</f>
        <v>Home - PortCastelló</v>
      </c>
      <c r="C1077" s="114" t="str" cm="1">
        <f t="array" ref="C1077">IFERROR(INDEX('03.Muestra'!$F$8:$F$42,SMALL(IF("Página Web"='03.Muestra'!$D$8:$D$42,ROW('03.Muestra'!$F$8:$F$42)-MIN(ROW('03.Muestra'!$D$8:$D$42))+1,""),ROW()-1044)),"")</f>
        <v>https://www.portcastello.com/</v>
      </c>
      <c r="D1077" s="130" t="s">
        <v>37</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str" cm="1">
        <f t="array" ref="A1078">IFERROR(INDEX('03.Muestra'!$B$8:$B$42,SMALL(IF("Página Web"='03.Muestra'!$D$8:$D$42,ROW('03.Muestra'!$B$8:$B$42)-MIN(ROW('03.Muestra'!$D$8:$D$42))+1,""),ROW()-1044)),"")</f>
        <v/>
      </c>
      <c r="B1078" s="114" t="str" cm="1">
        <f t="array" ref="B1078">IFERROR(INDEX('03.Muestra'!$C$8:$C$42,SMALL(IF("Página Web"='03.Muestra'!$D$8:$D$42,ROW('03.Muestra'!$C$8:$C$42)-MIN(ROW('03.Muestra'!$D$8:$D$42))+1,""),ROW()-1044)),"")</f>
        <v/>
      </c>
      <c r="C1078" s="114" t="str" cm="1">
        <f t="array" ref="C1078">IFERROR(INDEX('03.Muestra'!$F$8:$F$42,SMALL(IF("Página Web"='03.Muestra'!$D$8:$D$42,ROW('03.Muestra'!$F$8:$F$42)-MIN(ROW('03.Muestra'!$D$8:$D$42))+1,""),ROW()-1044)),"")</f>
        <v/>
      </c>
      <c r="D1078" s="130" t="str">
        <f t="shared" si="55" ref="D1078:D1079">IF(AND(B1078&lt;&gt;"",C1078&lt;&gt;""),"N/T","")</f>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268</v>
      </c>
      <c r="B1082" s="24" t="s">
        <v>90</v>
      </c>
      <c r="C1082" s="25" t="s">
        <v>401</v>
      </c>
      <c r="D1082" s="26" t="s">
        <v>32</v>
      </c>
      <c r="E1082" s="123"/>
      <c r="K1082" s="233"/>
      <c r="L1082" s="19"/>
      <c r="M1082" s="19"/>
      <c r="N1082" s="19"/>
      <c r="O1082" s="19"/>
      <c r="P1082" s="19"/>
      <c r="Q1082" s="19"/>
      <c r="R1082" s="19"/>
      <c r="S1082" s="19"/>
      <c r="T1082" s="19"/>
      <c r="U1082" s="19"/>
      <c r="V1082" s="19"/>
      <c r="W1082" s="19"/>
      <c r="X1082" s="19"/>
      <c r="Y1082" s="19"/>
    </row>
    <row r="1083" spans="1:25" ht="12" customHeight="1">
      <c r="A1083" s="219" t="n" cm="1">
        <f t="array" ref="A1083">IFERROR(INDEX('03.Muestra'!$B$8:$B$42,SMALL(IF("Página Web"='03.Muestra'!$D$8:$D$42,ROW('03.Muestra'!$B$8:$B$42)-MIN(ROW('03.Muestra'!$D$8:$D$42))+1,""),ROW()-1082)),"")</f>
        <v>1.0</v>
      </c>
      <c r="B1083" s="114" t="str" cm="1">
        <f t="array" ref="B1083">IFERROR(INDEX('03.Muestra'!$C$8:$C$42,SMALL(IF("Página Web"='03.Muestra'!$D$8:$D$42,ROW('03.Muestra'!$C$8:$C$42)-MIN(ROW('03.Muestra'!$D$8:$D$42))+1,""),ROW()-1082)),"")</f>
        <v>Home - PortCastelló</v>
      </c>
      <c r="C1083" s="114" t="str" cm="1">
        <f t="array" ref="C1083">IFERROR(INDEX('03.Muestra'!$F$8:$F$42,SMALL(IF("Página Web"='03.Muestra'!$D$8:$D$42,ROW('03.Muestra'!$F$8:$F$42)-MIN(ROW('03.Muestra'!$D$8:$D$42))+1,""),ROW()-1082)),"")</f>
        <v>https://www.portcastello.com/</v>
      </c>
      <c r="D1083" s="130" t="s">
        <v>37</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2" customHeight="1">
      <c r="A1084" s="219" t="n" cm="1">
        <f t="array" ref="A1084">IFERROR(INDEX('03.Muestra'!$B$8:$B$42,SMALL(IF("Página Web"='03.Muestra'!$D$8:$D$42,ROW('03.Muestra'!$B$8:$B$42)-MIN(ROW('03.Muestra'!$D$8:$D$42))+1,""),ROW()-1082)),"")</f>
        <v>1.0</v>
      </c>
      <c r="B1084" s="114" t="str" cm="1">
        <f t="array" ref="B1084">IFERROR(INDEX('03.Muestra'!$C$8:$C$42,SMALL(IF("Página Web"='03.Muestra'!$D$8:$D$42,ROW('03.Muestra'!$C$8:$C$42)-MIN(ROW('03.Muestra'!$D$8:$D$42))+1,""),ROW()-1082)),"")</f>
        <v>Home - PortCastelló</v>
      </c>
      <c r="C1084" s="114" t="str" cm="1">
        <f t="array" ref="C1084">IFERROR(INDEX('03.Muestra'!$F$8:$F$42,SMALL(IF("Página Web"='03.Muestra'!$D$8:$D$42,ROW('03.Muestra'!$F$8:$F$42)-MIN(ROW('03.Muestra'!$D$8:$D$42))+1,""),ROW()-1082)),"")</f>
        <v>https://www.portcastello.com/</v>
      </c>
      <c r="D1084" s="130" t="s">
        <v>37</v>
      </c>
      <c r="E1084" s="107" t="str">
        <f t="shared" si="56"/>
        <v/>
      </c>
      <c r="F1084" s="120" t="n">
        <f ca="1">COUNTIF($D1083:INDIRECT("$D" &amp;  SUM(ROW()-1,'03.Muestra'!$D$45)-1),F1083)</f>
        <v>0.0</v>
      </c>
      <c r="G1084" s="120" t="n">
        <f ca="1">COUNTIF($D1083:INDIRECT("$D" &amp;  SUM(ROW()-1,'03.Muestra'!$D$45)-1),G1083)</f>
        <v>29.0</v>
      </c>
      <c r="H1084" s="120" t="n">
        <f ca="1">COUNTIF($D1083:INDIRECT("$D" &amp;  SUM(ROW()-1,'03.Muestra'!$D$45)-1),H1083)</f>
        <v>0.0</v>
      </c>
      <c r="I1084" s="120" t="n">
        <f ca="1">COUNTIF($D1083:INDIRECT("$D" &amp;  SUM(ROW()-1,'03.Muestra'!$D$45)-1),I1083)</f>
        <v>4.0</v>
      </c>
      <c r="J1084" s="120" t="n">
        <f ca="1">COUNTIF($D1083:INDIRECT("$D" &amp;  SUM(ROW()-1,'03.Muestra'!$D$45)-1),J1083)</f>
        <v>0.0</v>
      </c>
      <c r="K1084" s="227" t="n">
        <f ca="1">IF(COUNTIF('03.Muestra'!$D$8:$D$42,"Página Web")=0,0,COUNTBLANK($D1083:INDIRECT("$D" &amp;  SUM(ROW()-1,COUNTIF('03.Muestra'!$D$8:$D$42,"Página Web"))-1)))</f>
        <v>0.0</v>
      </c>
      <c r="L1084" s="19"/>
      <c r="M1084" s="19"/>
      <c r="N1084" s="19"/>
      <c r="O1084" s="19"/>
      <c r="P1084" s="19"/>
      <c r="Q1084" s="19"/>
      <c r="R1084" s="19"/>
      <c r="S1084" s="19"/>
      <c r="T1084" s="19"/>
      <c r="U1084" s="19"/>
      <c r="V1084" s="19"/>
      <c r="W1084" s="19"/>
      <c r="X1084" s="19"/>
      <c r="Y1084" s="19"/>
    </row>
    <row r="1085" spans="1:25" ht="12" customHeight="1">
      <c r="A1085" s="219" t="n" cm="1">
        <f t="array" ref="A1085">IFERROR(INDEX('03.Muestra'!$B$8:$B$42,SMALL(IF("Página Web"='03.Muestra'!$D$8:$D$42,ROW('03.Muestra'!$B$8:$B$42)-MIN(ROW('03.Muestra'!$D$8:$D$42))+1,""),ROW()-1082)),"")</f>
        <v>1.0</v>
      </c>
      <c r="B1085" s="114" t="str" cm="1">
        <f t="array" ref="B1085">IFERROR(INDEX('03.Muestra'!$C$8:$C$42,SMALL(IF("Página Web"='03.Muestra'!$D$8:$D$42,ROW('03.Muestra'!$C$8:$C$42)-MIN(ROW('03.Muestra'!$D$8:$D$42))+1,""),ROW()-1082)),"")</f>
        <v>Home - PortCastelló</v>
      </c>
      <c r="C1085" s="114" t="str" cm="1">
        <f t="array" ref="C1085">IFERROR(INDEX('03.Muestra'!$F$8:$F$42,SMALL(IF("Página Web"='03.Muestra'!$D$8:$D$42,ROW('03.Muestra'!$F$8:$F$42)-MIN(ROW('03.Muestra'!$D$8:$D$42))+1,""),ROW()-1082)),"")</f>
        <v>https://www.portcastello.com/</v>
      </c>
      <c r="D1085" s="130" t="s">
        <v>37</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t="n" cm="1">
        <f t="array" ref="A1086">IFERROR(INDEX('03.Muestra'!$B$8:$B$42,SMALL(IF("Página Web"='03.Muestra'!$D$8:$D$42,ROW('03.Muestra'!$B$8:$B$42)-MIN(ROW('03.Muestra'!$D$8:$D$42))+1,""),ROW()-1082)),"")</f>
        <v>1.0</v>
      </c>
      <c r="B1086" s="114" t="str" cm="1">
        <f t="array" ref="B1086">IFERROR(INDEX('03.Muestra'!$C$8:$C$42,SMALL(IF("Página Web"='03.Muestra'!$D$8:$D$42,ROW('03.Muestra'!$C$8:$C$42)-MIN(ROW('03.Muestra'!$D$8:$D$42))+1,""),ROW()-1082)),"")</f>
        <v>Home - PortCastelló</v>
      </c>
      <c r="C1086" s="114" t="str" cm="1">
        <f t="array" ref="C1086">IFERROR(INDEX('03.Muestra'!$F$8:$F$42,SMALL(IF("Página Web"='03.Muestra'!$D$8:$D$42,ROW('03.Muestra'!$F$8:$F$42)-MIN(ROW('03.Muestra'!$D$8:$D$42))+1,""),ROW()-1082)),"")</f>
        <v>https://www.portcastello.com/</v>
      </c>
      <c r="D1086" s="130" t="s">
        <v>28</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t="n" cm="1">
        <f t="array" ref="A1087">IFERROR(INDEX('03.Muestra'!$B$8:$B$42,SMALL(IF("Página Web"='03.Muestra'!$D$8:$D$42,ROW('03.Muestra'!$B$8:$B$42)-MIN(ROW('03.Muestra'!$D$8:$D$42))+1,""),ROW()-1082)),"")</f>
        <v>1.0</v>
      </c>
      <c r="B1087" s="114" t="str" cm="1">
        <f t="array" ref="B1087">IFERROR(INDEX('03.Muestra'!$C$8:$C$42,SMALL(IF("Página Web"='03.Muestra'!$D$8:$D$42,ROW('03.Muestra'!$C$8:$C$42)-MIN(ROW('03.Muestra'!$D$8:$D$42))+1,""),ROW()-1082)),"")</f>
        <v>Home - PortCastelló</v>
      </c>
      <c r="C1087" s="114" t="str" cm="1">
        <f t="array" ref="C1087">IFERROR(INDEX('03.Muestra'!$F$8:$F$42,SMALL(IF("Página Web"='03.Muestra'!$D$8:$D$42,ROW('03.Muestra'!$F$8:$F$42)-MIN(ROW('03.Muestra'!$D$8:$D$42))+1,""),ROW()-1082)),"")</f>
        <v>https://www.portcastello.com/</v>
      </c>
      <c r="D1087" s="130" t="s">
        <v>37</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t="n" cm="1">
        <f t="array" ref="A1088">IFERROR(INDEX('03.Muestra'!$B$8:$B$42,SMALL(IF("Página Web"='03.Muestra'!$D$8:$D$42,ROW('03.Muestra'!$B$8:$B$42)-MIN(ROW('03.Muestra'!$D$8:$D$42))+1,""),ROW()-1082)),"")</f>
        <v>1.0</v>
      </c>
      <c r="B1088" s="114" t="str" cm="1">
        <f t="array" ref="B1088">IFERROR(INDEX('03.Muestra'!$C$8:$C$42,SMALL(IF("Página Web"='03.Muestra'!$D$8:$D$42,ROW('03.Muestra'!$C$8:$C$42)-MIN(ROW('03.Muestra'!$D$8:$D$42))+1,""),ROW()-1082)),"")</f>
        <v>Home - PortCastelló</v>
      </c>
      <c r="C1088" s="114" t="str" cm="1">
        <f t="array" ref="C1088">IFERROR(INDEX('03.Muestra'!$F$8:$F$42,SMALL(IF("Página Web"='03.Muestra'!$D$8:$D$42,ROW('03.Muestra'!$F$8:$F$42)-MIN(ROW('03.Muestra'!$D$8:$D$42))+1,""),ROW()-1082)),"")</f>
        <v>https://www.portcastello.com/</v>
      </c>
      <c r="D1088" s="130" t="s">
        <v>37</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t="n" cm="1">
        <f t="array" ref="A1089">IFERROR(INDEX('03.Muestra'!$B$8:$B$42,SMALL(IF("Página Web"='03.Muestra'!$D$8:$D$42,ROW('03.Muestra'!$B$8:$B$42)-MIN(ROW('03.Muestra'!$D$8:$D$42))+1,""),ROW()-1082)),"")</f>
        <v>1.0</v>
      </c>
      <c r="B1089" s="114" t="str" cm="1">
        <f t="array" ref="B1089">IFERROR(INDEX('03.Muestra'!$C$8:$C$42,SMALL(IF("Página Web"='03.Muestra'!$D$8:$D$42,ROW('03.Muestra'!$C$8:$C$42)-MIN(ROW('03.Muestra'!$D$8:$D$42))+1,""),ROW()-1082)),"")</f>
        <v>Home - PortCastelló</v>
      </c>
      <c r="C1089" s="114" t="str" cm="1">
        <f t="array" ref="C1089">IFERROR(INDEX('03.Muestra'!$F$8:$F$42,SMALL(IF("Página Web"='03.Muestra'!$D$8:$D$42,ROW('03.Muestra'!$F$8:$F$42)-MIN(ROW('03.Muestra'!$D$8:$D$42))+1,""),ROW()-1082)),"")</f>
        <v>https://www.portcastello.com/</v>
      </c>
      <c r="D1089" s="130" t="s">
        <v>37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t="n" cm="1">
        <f t="array" ref="A1090">IFERROR(INDEX('03.Muestra'!$B$8:$B$42,SMALL(IF("Página Web"='03.Muestra'!$D$8:$D$42,ROW('03.Muestra'!$B$8:$B$42)-MIN(ROW('03.Muestra'!$D$8:$D$42))+1,""),ROW()-1082)),"")</f>
        <v>1.0</v>
      </c>
      <c r="B1090" s="114" t="str" cm="1">
        <f t="array" ref="B1090">IFERROR(INDEX('03.Muestra'!$C$8:$C$42,SMALL(IF("Página Web"='03.Muestra'!$D$8:$D$42,ROW('03.Muestra'!$C$8:$C$42)-MIN(ROW('03.Muestra'!$D$8:$D$42))+1,""),ROW()-1082)),"")</f>
        <v>Home - PortCastelló</v>
      </c>
      <c r="C1090" s="114" t="str" cm="1">
        <f t="array" ref="C1090">IFERROR(INDEX('03.Muestra'!$F$8:$F$42,SMALL(IF("Página Web"='03.Muestra'!$D$8:$D$42,ROW('03.Muestra'!$F$8:$F$42)-MIN(ROW('03.Muestra'!$D$8:$D$42))+1,""),ROW()-1082)),"")</f>
        <v>https://www.portcastello.com/</v>
      </c>
      <c r="D1090" s="130" t="s">
        <v>37</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n" cm="1">
        <f t="array" ref="A1091">IFERROR(INDEX('03.Muestra'!$B$8:$B$42,SMALL(IF("Página Web"='03.Muestra'!$D$8:$D$42,ROW('03.Muestra'!$B$8:$B$42)-MIN(ROW('03.Muestra'!$D$8:$D$42))+1,""),ROW()-1082)),"")</f>
        <v>1.0</v>
      </c>
      <c r="B1091" s="114" t="str" cm="1">
        <f t="array" ref="B1091">IFERROR(INDEX('03.Muestra'!$C$8:$C$42,SMALL(IF("Página Web"='03.Muestra'!$D$8:$D$42,ROW('03.Muestra'!$C$8:$C$42)-MIN(ROW('03.Muestra'!$D$8:$D$42))+1,""),ROW()-1082)),"")</f>
        <v>Home - PortCastelló</v>
      </c>
      <c r="C1091" s="114" t="str" cm="1">
        <f t="array" ref="C1091">IFERROR(INDEX('03.Muestra'!$F$8:$F$42,SMALL(IF("Página Web"='03.Muestra'!$D$8:$D$42,ROW('03.Muestra'!$F$8:$F$42)-MIN(ROW('03.Muestra'!$D$8:$D$42))+1,""),ROW()-1082)),"")</f>
        <v>https://www.portcastello.com/</v>
      </c>
      <c r="D1091" s="130" t="s">
        <v>37</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n"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Home - PortCastelló</v>
      </c>
      <c r="C1092" s="114" t="str" cm="1">
        <f t="array" ref="C1092">IFERROR(INDEX('03.Muestra'!$F$8:$F$42,SMALL(IF("Página Web"='03.Muestra'!$D$8:$D$42,ROW('03.Muestra'!$F$8:$F$42)-MIN(ROW('03.Muestra'!$D$8:$D$42))+1,""),ROW()-1082)),"")</f>
        <v>https://www.portcastello.com/</v>
      </c>
      <c r="D1092" s="130" t="s">
        <v>37</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n" cm="1">
        <f t="array" ref="A1093">IFERROR(INDEX('03.Muestra'!$B$8:$B$42,SMALL(IF("Página Web"='03.Muestra'!$D$8:$D$42,ROW('03.Muestra'!$B$8:$B$42)-MIN(ROW('03.Muestra'!$D$8:$D$42))+1,""),ROW()-1082)),"")</f>
        <v>1.0</v>
      </c>
      <c r="B1093" s="114" t="str" cm="1">
        <f t="array" ref="B1093">IFERROR(INDEX('03.Muestra'!$C$8:$C$42,SMALL(IF("Página Web"='03.Muestra'!$D$8:$D$42,ROW('03.Muestra'!$C$8:$C$42)-MIN(ROW('03.Muestra'!$D$8:$D$42))+1,""),ROW()-1082)),"")</f>
        <v>Home - PortCastelló</v>
      </c>
      <c r="C1093" s="114" t="str" cm="1">
        <f t="array" ref="C1093">IFERROR(INDEX('03.Muestra'!$F$8:$F$42,SMALL(IF("Página Web"='03.Muestra'!$D$8:$D$42,ROW('03.Muestra'!$F$8:$F$42)-MIN(ROW('03.Muestra'!$D$8:$D$42))+1,""),ROW()-1082)),"")</f>
        <v>https://www.portcastello.com/</v>
      </c>
      <c r="D1093" s="130" t="s">
        <v>37</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n" cm="1">
        <f t="array" ref="A1094">IFERROR(INDEX('03.Muestra'!$B$8:$B$42,SMALL(IF("Página Web"='03.Muestra'!$D$8:$D$42,ROW('03.Muestra'!$B$8:$B$42)-MIN(ROW('03.Muestra'!$D$8:$D$42))+1,""),ROW()-1082)),"")</f>
        <v>1.0</v>
      </c>
      <c r="B1094" s="114" t="str" cm="1">
        <f t="array" ref="B1094">IFERROR(INDEX('03.Muestra'!$C$8:$C$42,SMALL(IF("Página Web"='03.Muestra'!$D$8:$D$42,ROW('03.Muestra'!$C$8:$C$42)-MIN(ROW('03.Muestra'!$D$8:$D$42))+1,""),ROW()-1082)),"")</f>
        <v>Home - PortCastelló</v>
      </c>
      <c r="C1094" s="114" t="str" cm="1">
        <f t="array" ref="C1094">IFERROR(INDEX('03.Muestra'!$F$8:$F$42,SMALL(IF("Página Web"='03.Muestra'!$D$8:$D$42,ROW('03.Muestra'!$F$8:$F$42)-MIN(ROW('03.Muestra'!$D$8:$D$42))+1,""),ROW()-1082)),"")</f>
        <v>https://www.portcastello.com/</v>
      </c>
      <c r="D1094" s="130" t="s">
        <v>37</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n" cm="1">
        <f t="array" ref="A1095">IFERROR(INDEX('03.Muestra'!$B$8:$B$42,SMALL(IF("Página Web"='03.Muestra'!$D$8:$D$42,ROW('03.Muestra'!$B$8:$B$42)-MIN(ROW('03.Muestra'!$D$8:$D$42))+1,""),ROW()-1082)),"")</f>
        <v>1.0</v>
      </c>
      <c r="B1095" s="114" t="str" cm="1">
        <f t="array" ref="B1095">IFERROR(INDEX('03.Muestra'!$C$8:$C$42,SMALL(IF("Página Web"='03.Muestra'!$D$8:$D$42,ROW('03.Muestra'!$C$8:$C$42)-MIN(ROW('03.Muestra'!$D$8:$D$42))+1,""),ROW()-1082)),"")</f>
        <v>Home - PortCastelló</v>
      </c>
      <c r="C1095" s="114" t="str" cm="1">
        <f t="array" ref="C1095">IFERROR(INDEX('03.Muestra'!$F$8:$F$42,SMALL(IF("Página Web"='03.Muestra'!$D$8:$D$42,ROW('03.Muestra'!$F$8:$F$42)-MIN(ROW('03.Muestra'!$D$8:$D$42))+1,""),ROW()-1082)),"")</f>
        <v>https://www.portcastello.com/</v>
      </c>
      <c r="D1095" s="130" t="s">
        <v>37</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n" cm="1">
        <f t="array" ref="A1096">IFERROR(INDEX('03.Muestra'!$B$8:$B$42,SMALL(IF("Página Web"='03.Muestra'!$D$8:$D$42,ROW('03.Muestra'!$B$8:$B$42)-MIN(ROW('03.Muestra'!$D$8:$D$42))+1,""),ROW()-1082)),"")</f>
        <v>1.0</v>
      </c>
      <c r="B1096" s="114" t="str" cm="1">
        <f t="array" ref="B1096">IFERROR(INDEX('03.Muestra'!$C$8:$C$42,SMALL(IF("Página Web"='03.Muestra'!$D$8:$D$42,ROW('03.Muestra'!$C$8:$C$42)-MIN(ROW('03.Muestra'!$D$8:$D$42))+1,""),ROW()-1082)),"")</f>
        <v>Home - PortCastelló</v>
      </c>
      <c r="C1096" s="114" t="str" cm="1">
        <f t="array" ref="C1096">IFERROR(INDEX('03.Muestra'!$F$8:$F$42,SMALL(IF("Página Web"='03.Muestra'!$D$8:$D$42,ROW('03.Muestra'!$F$8:$F$42)-MIN(ROW('03.Muestra'!$D$8:$D$42))+1,""),ROW()-1082)),"")</f>
        <v>https://www.portcastello.com/</v>
      </c>
      <c r="D1096" s="130" t="s">
        <v>37</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n" cm="1">
        <f t="array" ref="A1097">IFERROR(INDEX('03.Muestra'!$B$8:$B$42,SMALL(IF("Página Web"='03.Muestra'!$D$8:$D$42,ROW('03.Muestra'!$B$8:$B$42)-MIN(ROW('03.Muestra'!$D$8:$D$42))+1,""),ROW()-1082)),"")</f>
        <v>1.0</v>
      </c>
      <c r="B1097" s="114" t="str" cm="1">
        <f t="array" ref="B1097">IFERROR(INDEX('03.Muestra'!$C$8:$C$42,SMALL(IF("Página Web"='03.Muestra'!$D$8:$D$42,ROW('03.Muestra'!$C$8:$C$42)-MIN(ROW('03.Muestra'!$D$8:$D$42))+1,""),ROW()-1082)),"")</f>
        <v>Home - PortCastelló</v>
      </c>
      <c r="C1097" s="114" t="str" cm="1">
        <f t="array" ref="C1097">IFERROR(INDEX('03.Muestra'!$F$8:$F$42,SMALL(IF("Página Web"='03.Muestra'!$D$8:$D$42,ROW('03.Muestra'!$F$8:$F$42)-MIN(ROW('03.Muestra'!$D$8:$D$42))+1,""),ROW()-1082)),"")</f>
        <v>https://www.portcastello.com/</v>
      </c>
      <c r="D1097" s="130" t="s">
        <v>37</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n" cm="1">
        <f t="array" ref="A1098">IFERROR(INDEX('03.Muestra'!$B$8:$B$42,SMALL(IF("Página Web"='03.Muestra'!$D$8:$D$42,ROW('03.Muestra'!$B$8:$B$42)-MIN(ROW('03.Muestra'!$D$8:$D$42))+1,""),ROW()-1082)),"")</f>
        <v>1.0</v>
      </c>
      <c r="B1098" s="114" t="str" cm="1">
        <f t="array" ref="B1098">IFERROR(INDEX('03.Muestra'!$C$8:$C$42,SMALL(IF("Página Web"='03.Muestra'!$D$8:$D$42,ROW('03.Muestra'!$C$8:$C$42)-MIN(ROW('03.Muestra'!$D$8:$D$42))+1,""),ROW()-1082)),"")</f>
        <v>Home - PortCastelló</v>
      </c>
      <c r="C1098" s="114" t="str" cm="1">
        <f t="array" ref="C1098">IFERROR(INDEX('03.Muestra'!$F$8:$F$42,SMALL(IF("Página Web"='03.Muestra'!$D$8:$D$42,ROW('03.Muestra'!$F$8:$F$42)-MIN(ROW('03.Muestra'!$D$8:$D$42))+1,""),ROW()-1082)),"")</f>
        <v>https://www.portcastello.com/</v>
      </c>
      <c r="D1098" s="130" t="s">
        <v>37</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n" cm="1">
        <f t="array" ref="A1099">IFERROR(INDEX('03.Muestra'!$B$8:$B$42,SMALL(IF("Página Web"='03.Muestra'!$D$8:$D$42,ROW('03.Muestra'!$B$8:$B$42)-MIN(ROW('03.Muestra'!$D$8:$D$42))+1,""),ROW()-1082)),"")</f>
        <v>1.0</v>
      </c>
      <c r="B1099" s="114" t="str" cm="1">
        <f t="array" ref="B1099">IFERROR(INDEX('03.Muestra'!$C$8:$C$42,SMALL(IF("Página Web"='03.Muestra'!$D$8:$D$42,ROW('03.Muestra'!$C$8:$C$42)-MIN(ROW('03.Muestra'!$D$8:$D$42))+1,""),ROW()-1082)),"")</f>
        <v>Home - PortCastelló</v>
      </c>
      <c r="C1099" s="114" t="str" cm="1">
        <f t="array" ref="C1099">IFERROR(INDEX('03.Muestra'!$F$8:$F$42,SMALL(IF("Página Web"='03.Muestra'!$D$8:$D$42,ROW('03.Muestra'!$F$8:$F$42)-MIN(ROW('03.Muestra'!$D$8:$D$42))+1,""),ROW()-1082)),"")</f>
        <v>https://www.portcastello.com/</v>
      </c>
      <c r="D1099" s="130" t="s">
        <v>28</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n" cm="1">
        <f t="array" ref="A1100">IFERROR(INDEX('03.Muestra'!$B$8:$B$42,SMALL(IF("Página Web"='03.Muestra'!$D$8:$D$42,ROW('03.Muestra'!$B$8:$B$42)-MIN(ROW('03.Muestra'!$D$8:$D$42))+1,""),ROW()-1082)),"")</f>
        <v>1.0</v>
      </c>
      <c r="B1100" s="114" t="str" cm="1">
        <f t="array" ref="B1100">IFERROR(INDEX('03.Muestra'!$C$8:$C$42,SMALL(IF("Página Web"='03.Muestra'!$D$8:$D$42,ROW('03.Muestra'!$C$8:$C$42)-MIN(ROW('03.Muestra'!$D$8:$D$42))+1,""),ROW()-1082)),"")</f>
        <v>Home - PortCastelló</v>
      </c>
      <c r="C1100" s="114" t="str" cm="1">
        <f t="array" ref="C1100">IFERROR(INDEX('03.Muestra'!$F$8:$F$42,SMALL(IF("Página Web"='03.Muestra'!$D$8:$D$42,ROW('03.Muestra'!$F$8:$F$42)-MIN(ROW('03.Muestra'!$D$8:$D$42))+1,""),ROW()-1082)),"")</f>
        <v>https://www.portcastello.com/</v>
      </c>
      <c r="D1100" s="130" t="s">
        <v>37</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n" cm="1">
        <f t="array" ref="A1101">IFERROR(INDEX('03.Muestra'!$B$8:$B$42,SMALL(IF("Página Web"='03.Muestra'!$D$8:$D$42,ROW('03.Muestra'!$B$8:$B$42)-MIN(ROW('03.Muestra'!$D$8:$D$42))+1,""),ROW()-1082)),"")</f>
        <v>1.0</v>
      </c>
      <c r="B1101" s="114" t="str" cm="1">
        <f t="array" ref="B1101">IFERROR(INDEX('03.Muestra'!$C$8:$C$42,SMALL(IF("Página Web"='03.Muestra'!$D$8:$D$42,ROW('03.Muestra'!$C$8:$C$42)-MIN(ROW('03.Muestra'!$D$8:$D$42))+1,""),ROW()-1082)),"")</f>
        <v>Home - PortCastelló</v>
      </c>
      <c r="C1101" s="114" t="str" cm="1">
        <f t="array" ref="C1101">IFERROR(INDEX('03.Muestra'!$F$8:$F$42,SMALL(IF("Página Web"='03.Muestra'!$D$8:$D$42,ROW('03.Muestra'!$F$8:$F$42)-MIN(ROW('03.Muestra'!$D$8:$D$42))+1,""),ROW()-1082)),"")</f>
        <v>https://www.portcastello.com/</v>
      </c>
      <c r="D1101" s="130" t="s">
        <v>37</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n" cm="1">
        <f t="array" ref="A1102">IFERROR(INDEX('03.Muestra'!$B$8:$B$42,SMALL(IF("Página Web"='03.Muestra'!$D$8:$D$42,ROW('03.Muestra'!$B$8:$B$42)-MIN(ROW('03.Muestra'!$D$8:$D$42))+1,""),ROW()-1082)),"")</f>
        <v>1.0</v>
      </c>
      <c r="B1102" s="114" t="str" cm="1">
        <f t="array" ref="B1102">IFERROR(INDEX('03.Muestra'!$C$8:$C$42,SMALL(IF("Página Web"='03.Muestra'!$D$8:$D$42,ROW('03.Muestra'!$C$8:$C$42)-MIN(ROW('03.Muestra'!$D$8:$D$42))+1,""),ROW()-1082)),"")</f>
        <v>Home - PortCastelló</v>
      </c>
      <c r="C1102" s="114" t="str" cm="1">
        <f t="array" ref="C1102">IFERROR(INDEX('03.Muestra'!$F$8:$F$42,SMALL(IF("Página Web"='03.Muestra'!$D$8:$D$42,ROW('03.Muestra'!$F$8:$F$42)-MIN(ROW('03.Muestra'!$D$8:$D$42))+1,""),ROW()-1082)),"")</f>
        <v>https://www.portcastello.com/</v>
      </c>
      <c r="D1102" s="130" t="s">
        <v>37</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n" cm="1">
        <f t="array" ref="A1103">IFERROR(INDEX('03.Muestra'!$B$8:$B$42,SMALL(IF("Página Web"='03.Muestra'!$D$8:$D$42,ROW('03.Muestra'!$B$8:$B$42)-MIN(ROW('03.Muestra'!$D$8:$D$42))+1,""),ROW()-1082)),"")</f>
        <v>1.0</v>
      </c>
      <c r="B1103" s="114" t="str" cm="1">
        <f t="array" ref="B1103">IFERROR(INDEX('03.Muestra'!$C$8:$C$42,SMALL(IF("Página Web"='03.Muestra'!$D$8:$D$42,ROW('03.Muestra'!$C$8:$C$42)-MIN(ROW('03.Muestra'!$D$8:$D$42))+1,""),ROW()-1082)),"")</f>
        <v>Home - PortCastelló</v>
      </c>
      <c r="C1103" s="114" t="str" cm="1">
        <f t="array" ref="C1103">IFERROR(INDEX('03.Muestra'!$F$8:$F$42,SMALL(IF("Página Web"='03.Muestra'!$D$8:$D$42,ROW('03.Muestra'!$F$8:$F$42)-MIN(ROW('03.Muestra'!$D$8:$D$42))+1,""),ROW()-1082)),"")</f>
        <v>https://www.portcastello.com/</v>
      </c>
      <c r="D1103" s="130" t="s">
        <v>37</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n" cm="1">
        <f t="array" ref="A1104">IFERROR(INDEX('03.Muestra'!$B$8:$B$42,SMALL(IF("Página Web"='03.Muestra'!$D$8:$D$42,ROW('03.Muestra'!$B$8:$B$42)-MIN(ROW('03.Muestra'!$D$8:$D$42))+1,""),ROW()-1082)),"")</f>
        <v>1.0</v>
      </c>
      <c r="B1104" s="114" t="str" cm="1">
        <f t="array" ref="B1104">IFERROR(INDEX('03.Muestra'!$C$8:$C$42,SMALL(IF("Página Web"='03.Muestra'!$D$8:$D$42,ROW('03.Muestra'!$C$8:$C$42)-MIN(ROW('03.Muestra'!$D$8:$D$42))+1,""),ROW()-1082)),"")</f>
        <v>Home - PortCastelló</v>
      </c>
      <c r="C1104" s="114" t="str" cm="1">
        <f t="array" ref="C1104">IFERROR(INDEX('03.Muestra'!$F$8:$F$42,SMALL(IF("Página Web"='03.Muestra'!$D$8:$D$42,ROW('03.Muestra'!$F$8:$F$42)-MIN(ROW('03.Muestra'!$D$8:$D$42))+1,""),ROW()-1082)),"")</f>
        <v>https://www.portcastello.com/</v>
      </c>
      <c r="D1104" s="130" t="s">
        <v>28</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n" cm="1">
        <f t="array" ref="A1105">IFERROR(INDEX('03.Muestra'!$B$8:$B$42,SMALL(IF("Página Web"='03.Muestra'!$D$8:$D$42,ROW('03.Muestra'!$B$8:$B$42)-MIN(ROW('03.Muestra'!$D$8:$D$42))+1,""),ROW()-1082)),"")</f>
        <v>1.0</v>
      </c>
      <c r="B1105" s="114" t="str" cm="1">
        <f t="array" ref="B1105">IFERROR(INDEX('03.Muestra'!$C$8:$C$42,SMALL(IF("Página Web"='03.Muestra'!$D$8:$D$42,ROW('03.Muestra'!$C$8:$C$42)-MIN(ROW('03.Muestra'!$D$8:$D$42))+1,""),ROW()-1082)),"")</f>
        <v>Home - PortCastelló</v>
      </c>
      <c r="C1105" s="114" t="str" cm="1">
        <f t="array" ref="C1105">IFERROR(INDEX('03.Muestra'!$F$8:$F$42,SMALL(IF("Página Web"='03.Muestra'!$D$8:$D$42,ROW('03.Muestra'!$F$8:$F$42)-MIN(ROW('03.Muestra'!$D$8:$D$42))+1,""),ROW()-1082)),"")</f>
        <v>https://www.portcastello.com/</v>
      </c>
      <c r="D1105" s="130" t="s">
        <v>37</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n" cm="1">
        <f t="array" ref="A1106">IFERROR(INDEX('03.Muestra'!$B$8:$B$42,SMALL(IF("Página Web"='03.Muestra'!$D$8:$D$42,ROW('03.Muestra'!$B$8:$B$42)-MIN(ROW('03.Muestra'!$D$8:$D$42))+1,""),ROW()-1082)),"")</f>
        <v>1.0</v>
      </c>
      <c r="B1106" s="114" t="str" cm="1">
        <f t="array" ref="B1106">IFERROR(INDEX('03.Muestra'!$C$8:$C$42,SMALL(IF("Página Web"='03.Muestra'!$D$8:$D$42,ROW('03.Muestra'!$C$8:$C$42)-MIN(ROW('03.Muestra'!$D$8:$D$42))+1,""),ROW()-1082)),"")</f>
        <v>Home - PortCastelló</v>
      </c>
      <c r="C1106" s="114" t="str" cm="1">
        <f t="array" ref="C1106">IFERROR(INDEX('03.Muestra'!$F$8:$F$42,SMALL(IF("Página Web"='03.Muestra'!$D$8:$D$42,ROW('03.Muestra'!$F$8:$F$42)-MIN(ROW('03.Muestra'!$D$8:$D$42))+1,""),ROW()-1082)),"")</f>
        <v>https://www.portcastello.com/</v>
      </c>
      <c r="D1106" s="130" t="s">
        <v>37</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n" cm="1">
        <f t="array" ref="A1107">IFERROR(INDEX('03.Muestra'!$B$8:$B$42,SMALL(IF("Página Web"='03.Muestra'!$D$8:$D$42,ROW('03.Muestra'!$B$8:$B$42)-MIN(ROW('03.Muestra'!$D$8:$D$42))+1,""),ROW()-1082)),"")</f>
        <v>1.0</v>
      </c>
      <c r="B1107" s="114" t="str" cm="1">
        <f t="array" ref="B1107">IFERROR(INDEX('03.Muestra'!$C$8:$C$42,SMALL(IF("Página Web"='03.Muestra'!$D$8:$D$42,ROW('03.Muestra'!$C$8:$C$42)-MIN(ROW('03.Muestra'!$D$8:$D$42))+1,""),ROW()-1082)),"")</f>
        <v>Home - PortCastelló</v>
      </c>
      <c r="C1107" s="114" t="str" cm="1">
        <f t="array" ref="C1107">IFERROR(INDEX('03.Muestra'!$F$8:$F$42,SMALL(IF("Página Web"='03.Muestra'!$D$8:$D$42,ROW('03.Muestra'!$F$8:$F$42)-MIN(ROW('03.Muestra'!$D$8:$D$42))+1,""),ROW()-1082)),"")</f>
        <v>https://www.portcastello.com/</v>
      </c>
      <c r="D1107" s="130" t="s">
        <v>37</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n" cm="1">
        <f t="array" ref="A1108">IFERROR(INDEX('03.Muestra'!$B$8:$B$42,SMALL(IF("Página Web"='03.Muestra'!$D$8:$D$42,ROW('03.Muestra'!$B$8:$B$42)-MIN(ROW('03.Muestra'!$D$8:$D$42))+1,""),ROW()-1082)),"")</f>
        <v>1.0</v>
      </c>
      <c r="B1108" s="114" t="str" cm="1">
        <f t="array" ref="B1108">IFERROR(INDEX('03.Muestra'!$C$8:$C$42,SMALL(IF("Página Web"='03.Muestra'!$D$8:$D$42,ROW('03.Muestra'!$C$8:$C$42)-MIN(ROW('03.Muestra'!$D$8:$D$42))+1,""),ROW()-1082)),"")</f>
        <v>Home - PortCastelló</v>
      </c>
      <c r="C1108" s="114" t="str" cm="1">
        <f t="array" ref="C1108">IFERROR(INDEX('03.Muestra'!$F$8:$F$42,SMALL(IF("Página Web"='03.Muestra'!$D$8:$D$42,ROW('03.Muestra'!$F$8:$F$42)-MIN(ROW('03.Muestra'!$D$8:$D$42))+1,""),ROW()-1082)),"")</f>
        <v>https://www.portcastello.com/</v>
      </c>
      <c r="D1108" s="130" t="s">
        <v>37</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n" cm="1">
        <f t="array" ref="A1109">IFERROR(INDEX('03.Muestra'!$B$8:$B$42,SMALL(IF("Página Web"='03.Muestra'!$D$8:$D$42,ROW('03.Muestra'!$B$8:$B$42)-MIN(ROW('03.Muestra'!$D$8:$D$42))+1,""),ROW()-1082)),"")</f>
        <v>1.0</v>
      </c>
      <c r="B1109" s="114" t="str" cm="1">
        <f t="array" ref="B1109">IFERROR(INDEX('03.Muestra'!$C$8:$C$42,SMALL(IF("Página Web"='03.Muestra'!$D$8:$D$42,ROW('03.Muestra'!$C$8:$C$42)-MIN(ROW('03.Muestra'!$D$8:$D$42))+1,""),ROW()-1082)),"")</f>
        <v>Home - PortCastelló</v>
      </c>
      <c r="C1109" s="114" t="str" cm="1">
        <f t="array" ref="C1109">IFERROR(INDEX('03.Muestra'!$F$8:$F$42,SMALL(IF("Página Web"='03.Muestra'!$D$8:$D$42,ROW('03.Muestra'!$F$8:$F$42)-MIN(ROW('03.Muestra'!$D$8:$D$42))+1,""),ROW()-1082)),"")</f>
        <v>https://www.portcastello.com/</v>
      </c>
      <c r="D1109" s="130" t="s">
        <v>37</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n" cm="1">
        <f t="array" ref="A1110">IFERROR(INDEX('03.Muestra'!$B$8:$B$42,SMALL(IF("Página Web"='03.Muestra'!$D$8:$D$42,ROW('03.Muestra'!$B$8:$B$42)-MIN(ROW('03.Muestra'!$D$8:$D$42))+1,""),ROW()-1082)),"")</f>
        <v>1.0</v>
      </c>
      <c r="B1110" s="114" t="str" cm="1">
        <f t="array" ref="B1110">IFERROR(INDEX('03.Muestra'!$C$8:$C$42,SMALL(IF("Página Web"='03.Muestra'!$D$8:$D$42,ROW('03.Muestra'!$C$8:$C$42)-MIN(ROW('03.Muestra'!$D$8:$D$42))+1,""),ROW()-1082)),"")</f>
        <v>Home - PortCastelló</v>
      </c>
      <c r="C1110" s="114" t="str" cm="1">
        <f t="array" ref="C1110">IFERROR(INDEX('03.Muestra'!$F$8:$F$42,SMALL(IF("Página Web"='03.Muestra'!$D$8:$D$42,ROW('03.Muestra'!$F$8:$F$42)-MIN(ROW('03.Muestra'!$D$8:$D$42))+1,""),ROW()-1082)),"")</f>
        <v>https://www.portcastello.com/</v>
      </c>
      <c r="D1110" s="130" t="s">
        <v>37</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n" cm="1">
        <f t="array" ref="A1111">IFERROR(INDEX('03.Muestra'!$B$8:$B$42,SMALL(IF("Página Web"='03.Muestra'!$D$8:$D$42,ROW('03.Muestra'!$B$8:$B$42)-MIN(ROW('03.Muestra'!$D$8:$D$42))+1,""),ROW()-1082)),"")</f>
        <v>1.0</v>
      </c>
      <c r="B1111" s="114" t="str" cm="1">
        <f t="array" ref="B1111">IFERROR(INDEX('03.Muestra'!$C$8:$C$42,SMALL(IF("Página Web"='03.Muestra'!$D$8:$D$42,ROW('03.Muestra'!$C$8:$C$42)-MIN(ROW('03.Muestra'!$D$8:$D$42))+1,""),ROW()-1082)),"")</f>
        <v>Home - PortCastelló</v>
      </c>
      <c r="C1111" s="114" t="str" cm="1">
        <f t="array" ref="C1111">IFERROR(INDEX('03.Muestra'!$F$8:$F$42,SMALL(IF("Página Web"='03.Muestra'!$D$8:$D$42,ROW('03.Muestra'!$F$8:$F$42)-MIN(ROW('03.Muestra'!$D$8:$D$42))+1,""),ROW()-1082)),"")</f>
        <v>https://www.portcastello.com/</v>
      </c>
      <c r="D1111" s="130" t="s">
        <v>37</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n" cm="1">
        <f t="array" ref="A1112">IFERROR(INDEX('03.Muestra'!$B$8:$B$42,SMALL(IF("Página Web"='03.Muestra'!$D$8:$D$42,ROW('03.Muestra'!$B$8:$B$42)-MIN(ROW('03.Muestra'!$D$8:$D$42))+1,""),ROW()-1082)),"")</f>
        <v>1.0</v>
      </c>
      <c r="B1112" s="114" t="str" cm="1">
        <f t="array" ref="B1112">IFERROR(INDEX('03.Muestra'!$C$8:$C$42,SMALL(IF("Página Web"='03.Muestra'!$D$8:$D$42,ROW('03.Muestra'!$C$8:$C$42)-MIN(ROW('03.Muestra'!$D$8:$D$42))+1,""),ROW()-1082)),"")</f>
        <v>Home - PortCastelló</v>
      </c>
      <c r="C1112" s="114" t="str" cm="1">
        <f t="array" ref="C1112">IFERROR(INDEX('03.Muestra'!$F$8:$F$42,SMALL(IF("Página Web"='03.Muestra'!$D$8:$D$42,ROW('03.Muestra'!$F$8:$F$42)-MIN(ROW('03.Muestra'!$D$8:$D$42))+1,""),ROW()-1082)),"")</f>
        <v>https://www.portcastello.com/</v>
      </c>
      <c r="D1112" s="130" t="s">
        <v>28</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n" cm="1">
        <f t="array" ref="A1113">IFERROR(INDEX('03.Muestra'!$B$8:$B$42,SMALL(IF("Página Web"='03.Muestra'!$D$8:$D$42,ROW('03.Muestra'!$B$8:$B$42)-MIN(ROW('03.Muestra'!$D$8:$D$42))+1,""),ROW()-1082)),"")</f>
        <v>1.0</v>
      </c>
      <c r="B1113" s="114" t="str" cm="1">
        <f t="array" ref="B1113">IFERROR(INDEX('03.Muestra'!$C$8:$C$42,SMALL(IF("Página Web"='03.Muestra'!$D$8:$D$42,ROW('03.Muestra'!$C$8:$C$42)-MIN(ROW('03.Muestra'!$D$8:$D$42))+1,""),ROW()-1082)),"")</f>
        <v>Home - PortCastelló</v>
      </c>
      <c r="C1113" s="114" t="str" cm="1">
        <f t="array" ref="C1113">IFERROR(INDEX('03.Muestra'!$F$8:$F$42,SMALL(IF("Página Web"='03.Muestra'!$D$8:$D$42,ROW('03.Muestra'!$F$8:$F$42)-MIN(ROW('03.Muestra'!$D$8:$D$42))+1,""),ROW()-1082)),"")</f>
        <v>https://www.portcastello.com/</v>
      </c>
      <c r="D1113" s="130" t="s">
        <v>37</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n" cm="1">
        <f t="array" ref="A1114">IFERROR(INDEX('03.Muestra'!$B$8:$B$42,SMALL(IF("Página Web"='03.Muestra'!$D$8:$D$42,ROW('03.Muestra'!$B$8:$B$42)-MIN(ROW('03.Muestra'!$D$8:$D$42))+1,""),ROW()-1082)),"")</f>
        <v>1.0</v>
      </c>
      <c r="B1114" s="114" t="str" cm="1">
        <f t="array" ref="B1114">IFERROR(INDEX('03.Muestra'!$C$8:$C$42,SMALL(IF("Página Web"='03.Muestra'!$D$8:$D$42,ROW('03.Muestra'!$C$8:$C$42)-MIN(ROW('03.Muestra'!$D$8:$D$42))+1,""),ROW()-1082)),"")</f>
        <v>Home - PortCastelló</v>
      </c>
      <c r="C1114" s="114" t="str" cm="1">
        <f t="array" ref="C1114">IFERROR(INDEX('03.Muestra'!$F$8:$F$42,SMALL(IF("Página Web"='03.Muestra'!$D$8:$D$42,ROW('03.Muestra'!$F$8:$F$42)-MIN(ROW('03.Muestra'!$D$8:$D$42))+1,""),ROW()-1082)),"")</f>
        <v>https://www.portcastello.com/</v>
      </c>
      <c r="D1114" s="130" t="s">
        <v>37</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n" cm="1">
        <f t="array" ref="A1115">IFERROR(INDEX('03.Muestra'!$B$8:$B$42,SMALL(IF("Página Web"='03.Muestra'!$D$8:$D$42,ROW('03.Muestra'!$B$8:$B$42)-MIN(ROW('03.Muestra'!$D$8:$D$42))+1,""),ROW()-1082)),"")</f>
        <v>1.0</v>
      </c>
      <c r="B1115" s="114" t="str" cm="1">
        <f t="array" ref="B1115">IFERROR(INDEX('03.Muestra'!$C$8:$C$42,SMALL(IF("Página Web"='03.Muestra'!$D$8:$D$42,ROW('03.Muestra'!$C$8:$C$42)-MIN(ROW('03.Muestra'!$D$8:$D$42))+1,""),ROW()-1082)),"")</f>
        <v>Home - PortCastelló</v>
      </c>
      <c r="C1115" s="114" t="str" cm="1">
        <f t="array" ref="C1115">IFERROR(INDEX('03.Muestra'!$F$8:$F$42,SMALL(IF("Página Web"='03.Muestra'!$D$8:$D$42,ROW('03.Muestra'!$F$8:$F$42)-MIN(ROW('03.Muestra'!$D$8:$D$42))+1,""),ROW()-1082)),"")</f>
        <v>https://www.portcastello.com/</v>
      </c>
      <c r="D1115" s="130" t="s">
        <v>37</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str" cm="1">
        <f t="array" ref="A1116">IFERROR(INDEX('03.Muestra'!$B$8:$B$42,SMALL(IF("Página Web"='03.Muestra'!$D$8:$D$42,ROW('03.Muestra'!$B$8:$B$42)-MIN(ROW('03.Muestra'!$D$8:$D$42))+1,""),ROW()-1082)),"")</f>
        <v/>
      </c>
      <c r="B1116" s="114" t="str" cm="1">
        <f t="array" ref="B1116">IFERROR(INDEX('03.Muestra'!$C$8:$C$42,SMALL(IF("Página Web"='03.Muestra'!$D$8:$D$42,ROW('03.Muestra'!$C$8:$C$42)-MIN(ROW('03.Muestra'!$D$8:$D$42))+1,""),ROW()-1082)),"")</f>
        <v/>
      </c>
      <c r="C1116" s="114" t="str" cm="1">
        <f t="array" ref="C1116">IFERROR(INDEX('03.Muestra'!$F$8:$F$42,SMALL(IF("Página Web"='03.Muestra'!$D$8:$D$42,ROW('03.Muestra'!$F$8:$F$42)-MIN(ROW('03.Muestra'!$D$8:$D$42))+1,""),ROW()-1082)),"")</f>
        <v/>
      </c>
      <c r="D1116" s="130" t="str">
        <f t="shared" si="57" ref="D1116:D1117">IF(AND(B1116&lt;&gt;"",C1116&lt;&gt;""),"N/T","")</f>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268</v>
      </c>
      <c r="B1120" s="24" t="s">
        <v>90</v>
      </c>
      <c r="C1120" s="25" t="s">
        <v>402</v>
      </c>
      <c r="D1120" s="26" t="s">
        <v>32</v>
      </c>
      <c r="E1120" s="123"/>
      <c r="K1120" s="233"/>
      <c r="L1120" s="19"/>
      <c r="M1120" s="19"/>
      <c r="N1120" s="19"/>
      <c r="O1120" s="19"/>
      <c r="P1120" s="19"/>
      <c r="Q1120" s="19"/>
      <c r="R1120" s="19"/>
      <c r="S1120" s="19"/>
      <c r="T1120" s="19"/>
      <c r="U1120" s="19"/>
      <c r="V1120" s="19"/>
      <c r="W1120" s="19"/>
      <c r="X1120" s="19"/>
      <c r="Y1120" s="19"/>
    </row>
    <row r="1121" spans="1:25" ht="12" customHeight="1">
      <c r="A1121" s="219" t="n" cm="1">
        <f t="array" ref="A1121">IFERROR(INDEX('03.Muestra'!$B$8:$B$42,SMALL(IF("Página Web"='03.Muestra'!$D$8:$D$42,ROW('03.Muestra'!$B$8:$B$42)-MIN(ROW('03.Muestra'!$D$8:$D$42))+1,""),ROW()-1120)),"")</f>
        <v>1.0</v>
      </c>
      <c r="B1121" s="114" t="str" cm="1">
        <f t="array" ref="B1121">IFERROR(INDEX('03.Muestra'!$C$8:$C$42,SMALL(IF("Página Web"='03.Muestra'!$D$8:$D$42,ROW('03.Muestra'!$C$8:$C$42)-MIN(ROW('03.Muestra'!$D$8:$D$42))+1,""),ROW()-1120)),"")</f>
        <v>Home - PortCastelló</v>
      </c>
      <c r="C1121" s="114" t="str" cm="1">
        <f t="array" ref="C1121">IFERROR(INDEX('03.Muestra'!$F$8:$F$42,SMALL(IF("Página Web"='03.Muestra'!$D$8:$D$42,ROW('03.Muestra'!$F$8:$F$42)-MIN(ROW('03.Muestra'!$D$8:$D$42))+1,""),ROW()-1120)),"")</f>
        <v>https://www.portcastello.com/</v>
      </c>
      <c r="D1121" s="130" t="s">
        <v>37</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2" customHeight="1">
      <c r="A1122" s="219" t="n" cm="1">
        <f t="array" ref="A1122">IFERROR(INDEX('03.Muestra'!$B$8:$B$42,SMALL(IF("Página Web"='03.Muestra'!$D$8:$D$42,ROW('03.Muestra'!$B$8:$B$42)-MIN(ROW('03.Muestra'!$D$8:$D$42))+1,""),ROW()-1120)),"")</f>
        <v>1.0</v>
      </c>
      <c r="B1122" s="114" t="str" cm="1">
        <f t="array" ref="B1122">IFERROR(INDEX('03.Muestra'!$C$8:$C$42,SMALL(IF("Página Web"='03.Muestra'!$D$8:$D$42,ROW('03.Muestra'!$C$8:$C$42)-MIN(ROW('03.Muestra'!$D$8:$D$42))+1,""),ROW()-1120)),"")</f>
        <v>Home - PortCastelló</v>
      </c>
      <c r="C1122" s="114" t="str" cm="1">
        <f t="array" ref="C1122">IFERROR(INDEX('03.Muestra'!$F$8:$F$42,SMALL(IF("Página Web"='03.Muestra'!$D$8:$D$42,ROW('03.Muestra'!$F$8:$F$42)-MIN(ROW('03.Muestra'!$D$8:$D$42))+1,""),ROW()-1120)),"")</f>
        <v>https://www.portcastello.com/</v>
      </c>
      <c r="D1122" s="130" t="s">
        <v>37</v>
      </c>
      <c r="E1122" s="107" t="str">
        <f t="shared" si="58"/>
        <v/>
      </c>
      <c r="F1122" s="120" t="n">
        <f ca="1">COUNTIF($D1121:INDIRECT("$D" &amp;  SUM(ROW()-1,'03.Muestra'!$D$45)-1),F1121)</f>
        <v>0.0</v>
      </c>
      <c r="G1122" s="120" t="n">
        <f ca="1">COUNTIF($D1121:INDIRECT("$D" &amp;  SUM(ROW()-1,'03.Muestra'!$D$45)-1),G1121)</f>
        <v>32.0</v>
      </c>
      <c r="H1122" s="120" t="n">
        <f ca="1">COUNTIF($D1121:INDIRECT("$D" &amp;  SUM(ROW()-1,'03.Muestra'!$D$45)-1),H1121)</f>
        <v>0.0</v>
      </c>
      <c r="I1122" s="120" t="n">
        <f ca="1">COUNTIF($D1121:INDIRECT("$D" &amp;  SUM(ROW()-1,'03.Muestra'!$D$45)-1),I1121)</f>
        <v>1.0</v>
      </c>
      <c r="J1122" s="120" t="n">
        <f ca="1">COUNTIF($D1121:INDIRECT("$D" &amp;  SUM(ROW()-1,'03.Muestra'!$D$45)-1),J1121)</f>
        <v>0.0</v>
      </c>
      <c r="K1122" s="227" t="n">
        <f ca="1">IF(COUNTIF('03.Muestra'!$D$8:$D$42,"Página Web")=0,0,COUNTBLANK($D1121:INDIRECT("$D" &amp;  SUM(ROW()-1,COUNTIF('03.Muestra'!$D$8:$D$42,"Página Web"))-1)))</f>
        <v>0.0</v>
      </c>
      <c r="L1122" s="19"/>
      <c r="M1122" s="19"/>
      <c r="N1122" s="19"/>
      <c r="O1122" s="19"/>
      <c r="P1122" s="19"/>
      <c r="Q1122" s="19"/>
      <c r="R1122" s="19"/>
      <c r="S1122" s="19"/>
      <c r="T1122" s="19"/>
      <c r="U1122" s="19"/>
      <c r="V1122" s="19"/>
      <c r="W1122" s="19"/>
      <c r="X1122" s="19"/>
      <c r="Y1122" s="19"/>
    </row>
    <row r="1123" spans="1:25" ht="12" customHeight="1">
      <c r="A1123" s="219" t="n" cm="1">
        <f t="array" ref="A1123">IFERROR(INDEX('03.Muestra'!$B$8:$B$42,SMALL(IF("Página Web"='03.Muestra'!$D$8:$D$42,ROW('03.Muestra'!$B$8:$B$42)-MIN(ROW('03.Muestra'!$D$8:$D$42))+1,""),ROW()-1120)),"")</f>
        <v>1.0</v>
      </c>
      <c r="B1123" s="114" t="str" cm="1">
        <f t="array" ref="B1123">IFERROR(INDEX('03.Muestra'!$C$8:$C$42,SMALL(IF("Página Web"='03.Muestra'!$D$8:$D$42,ROW('03.Muestra'!$C$8:$C$42)-MIN(ROW('03.Muestra'!$D$8:$D$42))+1,""),ROW()-1120)),"")</f>
        <v>Home - PortCastelló</v>
      </c>
      <c r="C1123" s="114" t="str" cm="1">
        <f t="array" ref="C1123">IFERROR(INDEX('03.Muestra'!$F$8:$F$42,SMALL(IF("Página Web"='03.Muestra'!$D$8:$D$42,ROW('03.Muestra'!$F$8:$F$42)-MIN(ROW('03.Muestra'!$D$8:$D$42))+1,""),ROW()-1120)),"")</f>
        <v>https://www.portcastello.com/</v>
      </c>
      <c r="D1123" s="130" t="s">
        <v>37</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t="n" cm="1">
        <f t="array" ref="A1124">IFERROR(INDEX('03.Muestra'!$B$8:$B$42,SMALL(IF("Página Web"='03.Muestra'!$D$8:$D$42,ROW('03.Muestra'!$B$8:$B$42)-MIN(ROW('03.Muestra'!$D$8:$D$42))+1,""),ROW()-1120)),"")</f>
        <v>1.0</v>
      </c>
      <c r="B1124" s="114" t="str" cm="1">
        <f t="array" ref="B1124">IFERROR(INDEX('03.Muestra'!$C$8:$C$42,SMALL(IF("Página Web"='03.Muestra'!$D$8:$D$42,ROW('03.Muestra'!$C$8:$C$42)-MIN(ROW('03.Muestra'!$D$8:$D$42))+1,""),ROW()-1120)),"")</f>
        <v>Home - PortCastelló</v>
      </c>
      <c r="C1124" s="114" t="str" cm="1">
        <f t="array" ref="C1124">IFERROR(INDEX('03.Muestra'!$F$8:$F$42,SMALL(IF("Página Web"='03.Muestra'!$D$8:$D$42,ROW('03.Muestra'!$F$8:$F$42)-MIN(ROW('03.Muestra'!$D$8:$D$42))+1,""),ROW()-1120)),"")</f>
        <v>https://www.portcastello.com/</v>
      </c>
      <c r="D1124" s="130" t="s">
        <v>37</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t="n" cm="1">
        <f t="array" ref="A1125">IFERROR(INDEX('03.Muestra'!$B$8:$B$42,SMALL(IF("Página Web"='03.Muestra'!$D$8:$D$42,ROW('03.Muestra'!$B$8:$B$42)-MIN(ROW('03.Muestra'!$D$8:$D$42))+1,""),ROW()-1120)),"")</f>
        <v>1.0</v>
      </c>
      <c r="B1125" s="114" t="str" cm="1">
        <f t="array" ref="B1125">IFERROR(INDEX('03.Muestra'!$C$8:$C$42,SMALL(IF("Página Web"='03.Muestra'!$D$8:$D$42,ROW('03.Muestra'!$C$8:$C$42)-MIN(ROW('03.Muestra'!$D$8:$D$42))+1,""),ROW()-1120)),"")</f>
        <v>Home - PortCastelló</v>
      </c>
      <c r="C1125" s="114" t="str" cm="1">
        <f t="array" ref="C1125">IFERROR(INDEX('03.Muestra'!$F$8:$F$42,SMALL(IF("Página Web"='03.Muestra'!$D$8:$D$42,ROW('03.Muestra'!$F$8:$F$42)-MIN(ROW('03.Muestra'!$D$8:$D$42))+1,""),ROW()-1120)),"")</f>
        <v>https://www.portcastello.com/</v>
      </c>
      <c r="D1125" s="130" t="s">
        <v>37</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t="n" cm="1">
        <f t="array" ref="A1126">IFERROR(INDEX('03.Muestra'!$B$8:$B$42,SMALL(IF("Página Web"='03.Muestra'!$D$8:$D$42,ROW('03.Muestra'!$B$8:$B$42)-MIN(ROW('03.Muestra'!$D$8:$D$42))+1,""),ROW()-1120)),"")</f>
        <v>1.0</v>
      </c>
      <c r="B1126" s="114" t="str" cm="1">
        <f t="array" ref="B1126">IFERROR(INDEX('03.Muestra'!$C$8:$C$42,SMALL(IF("Página Web"='03.Muestra'!$D$8:$D$42,ROW('03.Muestra'!$C$8:$C$42)-MIN(ROW('03.Muestra'!$D$8:$D$42))+1,""),ROW()-1120)),"")</f>
        <v>Home - PortCastelló</v>
      </c>
      <c r="C1126" s="114" t="str" cm="1">
        <f t="array" ref="C1126">IFERROR(INDEX('03.Muestra'!$F$8:$F$42,SMALL(IF("Página Web"='03.Muestra'!$D$8:$D$42,ROW('03.Muestra'!$F$8:$F$42)-MIN(ROW('03.Muestra'!$D$8:$D$42))+1,""),ROW()-1120)),"")</f>
        <v>https://www.portcastello.com/</v>
      </c>
      <c r="D1126" s="130" t="s">
        <v>37</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t="n" cm="1">
        <f t="array" ref="A1127">IFERROR(INDEX('03.Muestra'!$B$8:$B$42,SMALL(IF("Página Web"='03.Muestra'!$D$8:$D$42,ROW('03.Muestra'!$B$8:$B$42)-MIN(ROW('03.Muestra'!$D$8:$D$42))+1,""),ROW()-1120)),"")</f>
        <v>1.0</v>
      </c>
      <c r="B1127" s="114" t="str" cm="1">
        <f t="array" ref="B1127">IFERROR(INDEX('03.Muestra'!$C$8:$C$42,SMALL(IF("Página Web"='03.Muestra'!$D$8:$D$42,ROW('03.Muestra'!$C$8:$C$42)-MIN(ROW('03.Muestra'!$D$8:$D$42))+1,""),ROW()-1120)),"")</f>
        <v>Home - PortCastelló</v>
      </c>
      <c r="C1127" s="114" t="str" cm="1">
        <f t="array" ref="C1127">IFERROR(INDEX('03.Muestra'!$F$8:$F$42,SMALL(IF("Página Web"='03.Muestra'!$D$8:$D$42,ROW('03.Muestra'!$F$8:$F$42)-MIN(ROW('03.Muestra'!$D$8:$D$42))+1,""),ROW()-1120)),"")</f>
        <v>https://www.portcastello.com/</v>
      </c>
      <c r="D1127" s="130" t="s">
        <v>37</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t="n" cm="1">
        <f t="array" ref="A1128">IFERROR(INDEX('03.Muestra'!$B$8:$B$42,SMALL(IF("Página Web"='03.Muestra'!$D$8:$D$42,ROW('03.Muestra'!$B$8:$B$42)-MIN(ROW('03.Muestra'!$D$8:$D$42))+1,""),ROW()-1120)),"")</f>
        <v>1.0</v>
      </c>
      <c r="B1128" s="114" t="str" cm="1">
        <f t="array" ref="B1128">IFERROR(INDEX('03.Muestra'!$C$8:$C$42,SMALL(IF("Página Web"='03.Muestra'!$D$8:$D$42,ROW('03.Muestra'!$C$8:$C$42)-MIN(ROW('03.Muestra'!$D$8:$D$42))+1,""),ROW()-1120)),"")</f>
        <v>Home - PortCastelló</v>
      </c>
      <c r="C1128" s="114" t="str" cm="1">
        <f t="array" ref="C1128">IFERROR(INDEX('03.Muestra'!$F$8:$F$42,SMALL(IF("Página Web"='03.Muestra'!$D$8:$D$42,ROW('03.Muestra'!$F$8:$F$42)-MIN(ROW('03.Muestra'!$D$8:$D$42))+1,""),ROW()-1120)),"")</f>
        <v>https://www.portcastello.com/</v>
      </c>
      <c r="D1128" s="130" t="s">
        <v>37</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n" cm="1">
        <f t="array" ref="A1129">IFERROR(INDEX('03.Muestra'!$B$8:$B$42,SMALL(IF("Página Web"='03.Muestra'!$D$8:$D$42,ROW('03.Muestra'!$B$8:$B$42)-MIN(ROW('03.Muestra'!$D$8:$D$42))+1,""),ROW()-1120)),"")</f>
        <v>1.0</v>
      </c>
      <c r="B1129" s="114" t="str" cm="1">
        <f t="array" ref="B1129">IFERROR(INDEX('03.Muestra'!$C$8:$C$42,SMALL(IF("Página Web"='03.Muestra'!$D$8:$D$42,ROW('03.Muestra'!$C$8:$C$42)-MIN(ROW('03.Muestra'!$D$8:$D$42))+1,""),ROW()-1120)),"")</f>
        <v>Home - PortCastelló</v>
      </c>
      <c r="C1129" s="114" t="str" cm="1">
        <f t="array" ref="C1129">IFERROR(INDEX('03.Muestra'!$F$8:$F$42,SMALL(IF("Página Web"='03.Muestra'!$D$8:$D$42,ROW('03.Muestra'!$F$8:$F$42)-MIN(ROW('03.Muestra'!$D$8:$D$42))+1,""),ROW()-1120)),"")</f>
        <v>https://www.portcastello.com/</v>
      </c>
      <c r="D1129" s="130" t="s">
        <v>37</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n"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Home - PortCastelló</v>
      </c>
      <c r="C1130" s="114" t="str" cm="1">
        <f t="array" ref="C1130">IFERROR(INDEX('03.Muestra'!$F$8:$F$42,SMALL(IF("Página Web"='03.Muestra'!$D$8:$D$42,ROW('03.Muestra'!$F$8:$F$42)-MIN(ROW('03.Muestra'!$D$8:$D$42))+1,""),ROW()-1120)),"")</f>
        <v>https://www.portcastello.com/</v>
      </c>
      <c r="D1130" s="130" t="s">
        <v>37</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n" cm="1">
        <f t="array" ref="A1131">IFERROR(INDEX('03.Muestra'!$B$8:$B$42,SMALL(IF("Página Web"='03.Muestra'!$D$8:$D$42,ROW('03.Muestra'!$B$8:$B$42)-MIN(ROW('03.Muestra'!$D$8:$D$42))+1,""),ROW()-1120)),"")</f>
        <v>1.0</v>
      </c>
      <c r="B1131" s="114" t="str" cm="1">
        <f t="array" ref="B1131">IFERROR(INDEX('03.Muestra'!$C$8:$C$42,SMALL(IF("Página Web"='03.Muestra'!$D$8:$D$42,ROW('03.Muestra'!$C$8:$C$42)-MIN(ROW('03.Muestra'!$D$8:$D$42))+1,""),ROW()-1120)),"")</f>
        <v>Home - PortCastelló</v>
      </c>
      <c r="C1131" s="114" t="str" cm="1">
        <f t="array" ref="C1131">IFERROR(INDEX('03.Muestra'!$F$8:$F$42,SMALL(IF("Página Web"='03.Muestra'!$D$8:$D$42,ROW('03.Muestra'!$F$8:$F$42)-MIN(ROW('03.Muestra'!$D$8:$D$42))+1,""),ROW()-1120)),"")</f>
        <v>https://www.portcastello.com/</v>
      </c>
      <c r="D1131" s="130" t="s">
        <v>37</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n" cm="1">
        <f t="array" ref="A1132">IFERROR(INDEX('03.Muestra'!$B$8:$B$42,SMALL(IF("Página Web"='03.Muestra'!$D$8:$D$42,ROW('03.Muestra'!$B$8:$B$42)-MIN(ROW('03.Muestra'!$D$8:$D$42))+1,""),ROW()-1120)),"")</f>
        <v>1.0</v>
      </c>
      <c r="B1132" s="114" t="str" cm="1">
        <f t="array" ref="B1132">IFERROR(INDEX('03.Muestra'!$C$8:$C$42,SMALL(IF("Página Web"='03.Muestra'!$D$8:$D$42,ROW('03.Muestra'!$C$8:$C$42)-MIN(ROW('03.Muestra'!$D$8:$D$42))+1,""),ROW()-1120)),"")</f>
        <v>Home - PortCastelló</v>
      </c>
      <c r="C1132" s="114" t="str" cm="1">
        <f t="array" ref="C1132">IFERROR(INDEX('03.Muestra'!$F$8:$F$42,SMALL(IF("Página Web"='03.Muestra'!$D$8:$D$42,ROW('03.Muestra'!$F$8:$F$42)-MIN(ROW('03.Muestra'!$D$8:$D$42))+1,""),ROW()-1120)),"")</f>
        <v>https://www.portcastello.com/</v>
      </c>
      <c r="D1132" s="130" t="s">
        <v>37</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n" cm="1">
        <f t="array" ref="A1133">IFERROR(INDEX('03.Muestra'!$B$8:$B$42,SMALL(IF("Página Web"='03.Muestra'!$D$8:$D$42,ROW('03.Muestra'!$B$8:$B$42)-MIN(ROW('03.Muestra'!$D$8:$D$42))+1,""),ROW()-1120)),"")</f>
        <v>1.0</v>
      </c>
      <c r="B1133" s="114" t="str" cm="1">
        <f t="array" ref="B1133">IFERROR(INDEX('03.Muestra'!$C$8:$C$42,SMALL(IF("Página Web"='03.Muestra'!$D$8:$D$42,ROW('03.Muestra'!$C$8:$C$42)-MIN(ROW('03.Muestra'!$D$8:$D$42))+1,""),ROW()-1120)),"")</f>
        <v>Home - PortCastelló</v>
      </c>
      <c r="C1133" s="114" t="str" cm="1">
        <f t="array" ref="C1133">IFERROR(INDEX('03.Muestra'!$F$8:$F$42,SMALL(IF("Página Web"='03.Muestra'!$D$8:$D$42,ROW('03.Muestra'!$F$8:$F$42)-MIN(ROW('03.Muestra'!$D$8:$D$42))+1,""),ROW()-1120)),"")</f>
        <v>https://www.portcastello.com/</v>
      </c>
      <c r="D1133" s="130" t="s">
        <v>37</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n" cm="1">
        <f t="array" ref="A1134">IFERROR(INDEX('03.Muestra'!$B$8:$B$42,SMALL(IF("Página Web"='03.Muestra'!$D$8:$D$42,ROW('03.Muestra'!$B$8:$B$42)-MIN(ROW('03.Muestra'!$D$8:$D$42))+1,""),ROW()-1120)),"")</f>
        <v>1.0</v>
      </c>
      <c r="B1134" s="114" t="str" cm="1">
        <f t="array" ref="B1134">IFERROR(INDEX('03.Muestra'!$C$8:$C$42,SMALL(IF("Página Web"='03.Muestra'!$D$8:$D$42,ROW('03.Muestra'!$C$8:$C$42)-MIN(ROW('03.Muestra'!$D$8:$D$42))+1,""),ROW()-1120)),"")</f>
        <v>Home - PortCastelló</v>
      </c>
      <c r="C1134" s="114" t="str" cm="1">
        <f t="array" ref="C1134">IFERROR(INDEX('03.Muestra'!$F$8:$F$42,SMALL(IF("Página Web"='03.Muestra'!$D$8:$D$42,ROW('03.Muestra'!$F$8:$F$42)-MIN(ROW('03.Muestra'!$D$8:$D$42))+1,""),ROW()-1120)),"")</f>
        <v>https://www.portcastello.com/</v>
      </c>
      <c r="D1134" s="130" t="s">
        <v>37</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n" cm="1">
        <f t="array" ref="A1135">IFERROR(INDEX('03.Muestra'!$B$8:$B$42,SMALL(IF("Página Web"='03.Muestra'!$D$8:$D$42,ROW('03.Muestra'!$B$8:$B$42)-MIN(ROW('03.Muestra'!$D$8:$D$42))+1,""),ROW()-1120)),"")</f>
        <v>1.0</v>
      </c>
      <c r="B1135" s="114" t="str" cm="1">
        <f t="array" ref="B1135">IFERROR(INDEX('03.Muestra'!$C$8:$C$42,SMALL(IF("Página Web"='03.Muestra'!$D$8:$D$42,ROW('03.Muestra'!$C$8:$C$42)-MIN(ROW('03.Muestra'!$D$8:$D$42))+1,""),ROW()-1120)),"")</f>
        <v>Home - PortCastelló</v>
      </c>
      <c r="C1135" s="114" t="str" cm="1">
        <f t="array" ref="C1135">IFERROR(INDEX('03.Muestra'!$F$8:$F$42,SMALL(IF("Página Web"='03.Muestra'!$D$8:$D$42,ROW('03.Muestra'!$F$8:$F$42)-MIN(ROW('03.Muestra'!$D$8:$D$42))+1,""),ROW()-1120)),"")</f>
        <v>https://www.portcastello.com/</v>
      </c>
      <c r="D1135" s="130" t="s">
        <v>37</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n" cm="1">
        <f t="array" ref="A1136">IFERROR(INDEX('03.Muestra'!$B$8:$B$42,SMALL(IF("Página Web"='03.Muestra'!$D$8:$D$42,ROW('03.Muestra'!$B$8:$B$42)-MIN(ROW('03.Muestra'!$D$8:$D$42))+1,""),ROW()-1120)),"")</f>
        <v>1.0</v>
      </c>
      <c r="B1136" s="114" t="str" cm="1">
        <f t="array" ref="B1136">IFERROR(INDEX('03.Muestra'!$C$8:$C$42,SMALL(IF("Página Web"='03.Muestra'!$D$8:$D$42,ROW('03.Muestra'!$C$8:$C$42)-MIN(ROW('03.Muestra'!$D$8:$D$42))+1,""),ROW()-1120)),"")</f>
        <v>Home - PortCastelló</v>
      </c>
      <c r="C1136" s="114" t="str" cm="1">
        <f t="array" ref="C1136">IFERROR(INDEX('03.Muestra'!$F$8:$F$42,SMALL(IF("Página Web"='03.Muestra'!$D$8:$D$42,ROW('03.Muestra'!$F$8:$F$42)-MIN(ROW('03.Muestra'!$D$8:$D$42))+1,""),ROW()-1120)),"")</f>
        <v>https://www.portcastello.com/</v>
      </c>
      <c r="D1136" s="130" t="s">
        <v>37</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n" cm="1">
        <f t="array" ref="A1137">IFERROR(INDEX('03.Muestra'!$B$8:$B$42,SMALL(IF("Página Web"='03.Muestra'!$D$8:$D$42,ROW('03.Muestra'!$B$8:$B$42)-MIN(ROW('03.Muestra'!$D$8:$D$42))+1,""),ROW()-1120)),"")</f>
        <v>1.0</v>
      </c>
      <c r="B1137" s="114" t="str" cm="1">
        <f t="array" ref="B1137">IFERROR(INDEX('03.Muestra'!$C$8:$C$42,SMALL(IF("Página Web"='03.Muestra'!$D$8:$D$42,ROW('03.Muestra'!$C$8:$C$42)-MIN(ROW('03.Muestra'!$D$8:$D$42))+1,""),ROW()-1120)),"")</f>
        <v>Home - PortCastelló</v>
      </c>
      <c r="C1137" s="114" t="str" cm="1">
        <f t="array" ref="C1137">IFERROR(INDEX('03.Muestra'!$F$8:$F$42,SMALL(IF("Página Web"='03.Muestra'!$D$8:$D$42,ROW('03.Muestra'!$F$8:$F$42)-MIN(ROW('03.Muestra'!$D$8:$D$42))+1,""),ROW()-1120)),"")</f>
        <v>https://www.portcastello.com/</v>
      </c>
      <c r="D1137" s="130" t="s">
        <v>37</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n" cm="1">
        <f t="array" ref="A1138">IFERROR(INDEX('03.Muestra'!$B$8:$B$42,SMALL(IF("Página Web"='03.Muestra'!$D$8:$D$42,ROW('03.Muestra'!$B$8:$B$42)-MIN(ROW('03.Muestra'!$D$8:$D$42))+1,""),ROW()-1120)),"")</f>
        <v>1.0</v>
      </c>
      <c r="B1138" s="114" t="str" cm="1">
        <f t="array" ref="B1138">IFERROR(INDEX('03.Muestra'!$C$8:$C$42,SMALL(IF("Página Web"='03.Muestra'!$D$8:$D$42,ROW('03.Muestra'!$C$8:$C$42)-MIN(ROW('03.Muestra'!$D$8:$D$42))+1,""),ROW()-1120)),"")</f>
        <v>Home - PortCastelló</v>
      </c>
      <c r="C1138" s="114" t="str" cm="1">
        <f t="array" ref="C1138">IFERROR(INDEX('03.Muestra'!$F$8:$F$42,SMALL(IF("Página Web"='03.Muestra'!$D$8:$D$42,ROW('03.Muestra'!$F$8:$F$42)-MIN(ROW('03.Muestra'!$D$8:$D$42))+1,""),ROW()-1120)),"")</f>
        <v>https://www.portcastello.com/</v>
      </c>
      <c r="D1138" s="130" t="s">
        <v>37</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n" cm="1">
        <f t="array" ref="A1139">IFERROR(INDEX('03.Muestra'!$B$8:$B$42,SMALL(IF("Página Web"='03.Muestra'!$D$8:$D$42,ROW('03.Muestra'!$B$8:$B$42)-MIN(ROW('03.Muestra'!$D$8:$D$42))+1,""),ROW()-1120)),"")</f>
        <v>1.0</v>
      </c>
      <c r="B1139" s="114" t="str" cm="1">
        <f t="array" ref="B1139">IFERROR(INDEX('03.Muestra'!$C$8:$C$42,SMALL(IF("Página Web"='03.Muestra'!$D$8:$D$42,ROW('03.Muestra'!$C$8:$C$42)-MIN(ROW('03.Muestra'!$D$8:$D$42))+1,""),ROW()-1120)),"")</f>
        <v>Home - PortCastelló</v>
      </c>
      <c r="C1139" s="114" t="str" cm="1">
        <f t="array" ref="C1139">IFERROR(INDEX('03.Muestra'!$F$8:$F$42,SMALL(IF("Página Web"='03.Muestra'!$D$8:$D$42,ROW('03.Muestra'!$F$8:$F$42)-MIN(ROW('03.Muestra'!$D$8:$D$42))+1,""),ROW()-1120)),"")</f>
        <v>https://www.portcastello.com/</v>
      </c>
      <c r="D1139" s="130" t="s">
        <v>37</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n" cm="1">
        <f t="array" ref="A1140">IFERROR(INDEX('03.Muestra'!$B$8:$B$42,SMALL(IF("Página Web"='03.Muestra'!$D$8:$D$42,ROW('03.Muestra'!$B$8:$B$42)-MIN(ROW('03.Muestra'!$D$8:$D$42))+1,""),ROW()-1120)),"")</f>
        <v>1.0</v>
      </c>
      <c r="B1140" s="114" t="str" cm="1">
        <f t="array" ref="B1140">IFERROR(INDEX('03.Muestra'!$C$8:$C$42,SMALL(IF("Página Web"='03.Muestra'!$D$8:$D$42,ROW('03.Muestra'!$C$8:$C$42)-MIN(ROW('03.Muestra'!$D$8:$D$42))+1,""),ROW()-1120)),"")</f>
        <v>Home - PortCastelló</v>
      </c>
      <c r="C1140" s="114" t="str" cm="1">
        <f t="array" ref="C1140">IFERROR(INDEX('03.Muestra'!$F$8:$F$42,SMALL(IF("Página Web"='03.Muestra'!$D$8:$D$42,ROW('03.Muestra'!$F$8:$F$42)-MIN(ROW('03.Muestra'!$D$8:$D$42))+1,""),ROW()-1120)),"")</f>
        <v>https://www.portcastello.com/</v>
      </c>
      <c r="D1140" s="130" t="s">
        <v>37</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n" cm="1">
        <f t="array" ref="A1141">IFERROR(INDEX('03.Muestra'!$B$8:$B$42,SMALL(IF("Página Web"='03.Muestra'!$D$8:$D$42,ROW('03.Muestra'!$B$8:$B$42)-MIN(ROW('03.Muestra'!$D$8:$D$42))+1,""),ROW()-1120)),"")</f>
        <v>1.0</v>
      </c>
      <c r="B1141" s="114" t="str" cm="1">
        <f t="array" ref="B1141">IFERROR(INDEX('03.Muestra'!$C$8:$C$42,SMALL(IF("Página Web"='03.Muestra'!$D$8:$D$42,ROW('03.Muestra'!$C$8:$C$42)-MIN(ROW('03.Muestra'!$D$8:$D$42))+1,""),ROW()-1120)),"")</f>
        <v>Home - PortCastelló</v>
      </c>
      <c r="C1141" s="114" t="str" cm="1">
        <f t="array" ref="C1141">IFERROR(INDEX('03.Muestra'!$F$8:$F$42,SMALL(IF("Página Web"='03.Muestra'!$D$8:$D$42,ROW('03.Muestra'!$F$8:$F$42)-MIN(ROW('03.Muestra'!$D$8:$D$42))+1,""),ROW()-1120)),"")</f>
        <v>https://www.portcastello.com/</v>
      </c>
      <c r="D1141" s="130" t="s">
        <v>37</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n" cm="1">
        <f t="array" ref="A1142">IFERROR(INDEX('03.Muestra'!$B$8:$B$42,SMALL(IF("Página Web"='03.Muestra'!$D$8:$D$42,ROW('03.Muestra'!$B$8:$B$42)-MIN(ROW('03.Muestra'!$D$8:$D$42))+1,""),ROW()-1120)),"")</f>
        <v>1.0</v>
      </c>
      <c r="B1142" s="114" t="str" cm="1">
        <f t="array" ref="B1142">IFERROR(INDEX('03.Muestra'!$C$8:$C$42,SMALL(IF("Página Web"='03.Muestra'!$D$8:$D$42,ROW('03.Muestra'!$C$8:$C$42)-MIN(ROW('03.Muestra'!$D$8:$D$42))+1,""),ROW()-1120)),"")</f>
        <v>Home - PortCastelló</v>
      </c>
      <c r="C1142" s="114" t="str" cm="1">
        <f t="array" ref="C1142">IFERROR(INDEX('03.Muestra'!$F$8:$F$42,SMALL(IF("Página Web"='03.Muestra'!$D$8:$D$42,ROW('03.Muestra'!$F$8:$F$42)-MIN(ROW('03.Muestra'!$D$8:$D$42))+1,""),ROW()-1120)),"")</f>
        <v>https://www.portcastello.com/</v>
      </c>
      <c r="D1142" s="130" t="s">
        <v>37</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n" cm="1">
        <f t="array" ref="A1143">IFERROR(INDEX('03.Muestra'!$B$8:$B$42,SMALL(IF("Página Web"='03.Muestra'!$D$8:$D$42,ROW('03.Muestra'!$B$8:$B$42)-MIN(ROW('03.Muestra'!$D$8:$D$42))+1,""),ROW()-1120)),"")</f>
        <v>1.0</v>
      </c>
      <c r="B1143" s="114" t="str" cm="1">
        <f t="array" ref="B1143">IFERROR(INDEX('03.Muestra'!$C$8:$C$42,SMALL(IF("Página Web"='03.Muestra'!$D$8:$D$42,ROW('03.Muestra'!$C$8:$C$42)-MIN(ROW('03.Muestra'!$D$8:$D$42))+1,""),ROW()-1120)),"")</f>
        <v>Home - PortCastelló</v>
      </c>
      <c r="C1143" s="114" t="str" cm="1">
        <f t="array" ref="C1143">IFERROR(INDEX('03.Muestra'!$F$8:$F$42,SMALL(IF("Página Web"='03.Muestra'!$D$8:$D$42,ROW('03.Muestra'!$F$8:$F$42)-MIN(ROW('03.Muestra'!$D$8:$D$42))+1,""),ROW()-1120)),"")</f>
        <v>https://www.portcastello.com/</v>
      </c>
      <c r="D1143" s="130" t="s">
        <v>37</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n" cm="1">
        <f t="array" ref="A1144">IFERROR(INDEX('03.Muestra'!$B$8:$B$42,SMALL(IF("Página Web"='03.Muestra'!$D$8:$D$42,ROW('03.Muestra'!$B$8:$B$42)-MIN(ROW('03.Muestra'!$D$8:$D$42))+1,""),ROW()-1120)),"")</f>
        <v>1.0</v>
      </c>
      <c r="B1144" s="114" t="str" cm="1">
        <f t="array" ref="B1144">IFERROR(INDEX('03.Muestra'!$C$8:$C$42,SMALL(IF("Página Web"='03.Muestra'!$D$8:$D$42,ROW('03.Muestra'!$C$8:$C$42)-MIN(ROW('03.Muestra'!$D$8:$D$42))+1,""),ROW()-1120)),"")</f>
        <v>Home - PortCastelló</v>
      </c>
      <c r="C1144" s="114" t="str" cm="1">
        <f t="array" ref="C1144">IFERROR(INDEX('03.Muestra'!$F$8:$F$42,SMALL(IF("Página Web"='03.Muestra'!$D$8:$D$42,ROW('03.Muestra'!$F$8:$F$42)-MIN(ROW('03.Muestra'!$D$8:$D$42))+1,""),ROW()-1120)),"")</f>
        <v>https://www.portcastello.com/</v>
      </c>
      <c r="D1144" s="130" t="s">
        <v>28</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n" cm="1">
        <f t="array" ref="A1145">IFERROR(INDEX('03.Muestra'!$B$8:$B$42,SMALL(IF("Página Web"='03.Muestra'!$D$8:$D$42,ROW('03.Muestra'!$B$8:$B$42)-MIN(ROW('03.Muestra'!$D$8:$D$42))+1,""),ROW()-1120)),"")</f>
        <v>1.0</v>
      </c>
      <c r="B1145" s="114" t="str" cm="1">
        <f t="array" ref="B1145">IFERROR(INDEX('03.Muestra'!$C$8:$C$42,SMALL(IF("Página Web"='03.Muestra'!$D$8:$D$42,ROW('03.Muestra'!$C$8:$C$42)-MIN(ROW('03.Muestra'!$D$8:$D$42))+1,""),ROW()-1120)),"")</f>
        <v>Home - PortCastelló</v>
      </c>
      <c r="C1145" s="114" t="str" cm="1">
        <f t="array" ref="C1145">IFERROR(INDEX('03.Muestra'!$F$8:$F$42,SMALL(IF("Página Web"='03.Muestra'!$D$8:$D$42,ROW('03.Muestra'!$F$8:$F$42)-MIN(ROW('03.Muestra'!$D$8:$D$42))+1,""),ROW()-1120)),"")</f>
        <v>https://www.portcastello.com/</v>
      </c>
      <c r="D1145" s="130" t="s">
        <v>37</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n" cm="1">
        <f t="array" ref="A1146">IFERROR(INDEX('03.Muestra'!$B$8:$B$42,SMALL(IF("Página Web"='03.Muestra'!$D$8:$D$42,ROW('03.Muestra'!$B$8:$B$42)-MIN(ROW('03.Muestra'!$D$8:$D$42))+1,""),ROW()-1120)),"")</f>
        <v>1.0</v>
      </c>
      <c r="B1146" s="114" t="str" cm="1">
        <f t="array" ref="B1146">IFERROR(INDEX('03.Muestra'!$C$8:$C$42,SMALL(IF("Página Web"='03.Muestra'!$D$8:$D$42,ROW('03.Muestra'!$C$8:$C$42)-MIN(ROW('03.Muestra'!$D$8:$D$42))+1,""),ROW()-1120)),"")</f>
        <v>Home - PortCastelló</v>
      </c>
      <c r="C1146" s="114" t="str" cm="1">
        <f t="array" ref="C1146">IFERROR(INDEX('03.Muestra'!$F$8:$F$42,SMALL(IF("Página Web"='03.Muestra'!$D$8:$D$42,ROW('03.Muestra'!$F$8:$F$42)-MIN(ROW('03.Muestra'!$D$8:$D$42))+1,""),ROW()-1120)),"")</f>
        <v>https://www.portcastello.com/</v>
      </c>
      <c r="D1146" s="130" t="s">
        <v>37</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n" cm="1">
        <f t="array" ref="A1147">IFERROR(INDEX('03.Muestra'!$B$8:$B$42,SMALL(IF("Página Web"='03.Muestra'!$D$8:$D$42,ROW('03.Muestra'!$B$8:$B$42)-MIN(ROW('03.Muestra'!$D$8:$D$42))+1,""),ROW()-1120)),"")</f>
        <v>1.0</v>
      </c>
      <c r="B1147" s="114" t="str" cm="1">
        <f t="array" ref="B1147">IFERROR(INDEX('03.Muestra'!$C$8:$C$42,SMALL(IF("Página Web"='03.Muestra'!$D$8:$D$42,ROW('03.Muestra'!$C$8:$C$42)-MIN(ROW('03.Muestra'!$D$8:$D$42))+1,""),ROW()-1120)),"")</f>
        <v>Home - PortCastelló</v>
      </c>
      <c r="C1147" s="114" t="str" cm="1">
        <f t="array" ref="C1147">IFERROR(INDEX('03.Muestra'!$F$8:$F$42,SMALL(IF("Página Web"='03.Muestra'!$D$8:$D$42,ROW('03.Muestra'!$F$8:$F$42)-MIN(ROW('03.Muestra'!$D$8:$D$42))+1,""),ROW()-1120)),"")</f>
        <v>https://www.portcastello.com/</v>
      </c>
      <c r="D1147" s="130" t="s">
        <v>37</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n" cm="1">
        <f t="array" ref="A1148">IFERROR(INDEX('03.Muestra'!$B$8:$B$42,SMALL(IF("Página Web"='03.Muestra'!$D$8:$D$42,ROW('03.Muestra'!$B$8:$B$42)-MIN(ROW('03.Muestra'!$D$8:$D$42))+1,""),ROW()-1120)),"")</f>
        <v>1.0</v>
      </c>
      <c r="B1148" s="114" t="str" cm="1">
        <f t="array" ref="B1148">IFERROR(INDEX('03.Muestra'!$C$8:$C$42,SMALL(IF("Página Web"='03.Muestra'!$D$8:$D$42,ROW('03.Muestra'!$C$8:$C$42)-MIN(ROW('03.Muestra'!$D$8:$D$42))+1,""),ROW()-1120)),"")</f>
        <v>Home - PortCastelló</v>
      </c>
      <c r="C1148" s="114" t="str" cm="1">
        <f t="array" ref="C1148">IFERROR(INDEX('03.Muestra'!$F$8:$F$42,SMALL(IF("Página Web"='03.Muestra'!$D$8:$D$42,ROW('03.Muestra'!$F$8:$F$42)-MIN(ROW('03.Muestra'!$D$8:$D$42))+1,""),ROW()-1120)),"")</f>
        <v>https://www.portcastello.com/</v>
      </c>
      <c r="D1148" s="130" t="s">
        <v>37</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n" cm="1">
        <f t="array" ref="A1149">IFERROR(INDEX('03.Muestra'!$B$8:$B$42,SMALL(IF("Página Web"='03.Muestra'!$D$8:$D$42,ROW('03.Muestra'!$B$8:$B$42)-MIN(ROW('03.Muestra'!$D$8:$D$42))+1,""),ROW()-1120)),"")</f>
        <v>1.0</v>
      </c>
      <c r="B1149" s="114" t="str" cm="1">
        <f t="array" ref="B1149">IFERROR(INDEX('03.Muestra'!$C$8:$C$42,SMALL(IF("Página Web"='03.Muestra'!$D$8:$D$42,ROW('03.Muestra'!$C$8:$C$42)-MIN(ROW('03.Muestra'!$D$8:$D$42))+1,""),ROW()-1120)),"")</f>
        <v>Home - PortCastelló</v>
      </c>
      <c r="C1149" s="114" t="str" cm="1">
        <f t="array" ref="C1149">IFERROR(INDEX('03.Muestra'!$F$8:$F$42,SMALL(IF("Página Web"='03.Muestra'!$D$8:$D$42,ROW('03.Muestra'!$F$8:$F$42)-MIN(ROW('03.Muestra'!$D$8:$D$42))+1,""),ROW()-1120)),"")</f>
        <v>https://www.portcastello.com/</v>
      </c>
      <c r="D1149" s="130" t="s">
        <v>37</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n" cm="1">
        <f t="array" ref="A1150">IFERROR(INDEX('03.Muestra'!$B$8:$B$42,SMALL(IF("Página Web"='03.Muestra'!$D$8:$D$42,ROW('03.Muestra'!$B$8:$B$42)-MIN(ROW('03.Muestra'!$D$8:$D$42))+1,""),ROW()-1120)),"")</f>
        <v>1.0</v>
      </c>
      <c r="B1150" s="114" t="str" cm="1">
        <f t="array" ref="B1150">IFERROR(INDEX('03.Muestra'!$C$8:$C$42,SMALL(IF("Página Web"='03.Muestra'!$D$8:$D$42,ROW('03.Muestra'!$C$8:$C$42)-MIN(ROW('03.Muestra'!$D$8:$D$42))+1,""),ROW()-1120)),"")</f>
        <v>Home - PortCastelló</v>
      </c>
      <c r="C1150" s="114" t="str" cm="1">
        <f t="array" ref="C1150">IFERROR(INDEX('03.Muestra'!$F$8:$F$42,SMALL(IF("Página Web"='03.Muestra'!$D$8:$D$42,ROW('03.Muestra'!$F$8:$F$42)-MIN(ROW('03.Muestra'!$D$8:$D$42))+1,""),ROW()-1120)),"")</f>
        <v>https://www.portcastello.com/</v>
      </c>
      <c r="D1150" s="130" t="s">
        <v>37</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n" cm="1">
        <f t="array" ref="A1151">IFERROR(INDEX('03.Muestra'!$B$8:$B$42,SMALL(IF("Página Web"='03.Muestra'!$D$8:$D$42,ROW('03.Muestra'!$B$8:$B$42)-MIN(ROW('03.Muestra'!$D$8:$D$42))+1,""),ROW()-1120)),"")</f>
        <v>1.0</v>
      </c>
      <c r="B1151" s="114" t="str" cm="1">
        <f t="array" ref="B1151">IFERROR(INDEX('03.Muestra'!$C$8:$C$42,SMALL(IF("Página Web"='03.Muestra'!$D$8:$D$42,ROW('03.Muestra'!$C$8:$C$42)-MIN(ROW('03.Muestra'!$D$8:$D$42))+1,""),ROW()-1120)),"")</f>
        <v>Home - PortCastelló</v>
      </c>
      <c r="C1151" s="114" t="str" cm="1">
        <f t="array" ref="C1151">IFERROR(INDEX('03.Muestra'!$F$8:$F$42,SMALL(IF("Página Web"='03.Muestra'!$D$8:$D$42,ROW('03.Muestra'!$F$8:$F$42)-MIN(ROW('03.Muestra'!$D$8:$D$42))+1,""),ROW()-1120)),"")</f>
        <v>https://www.portcastello.com/</v>
      </c>
      <c r="D1151" s="130" t="s">
        <v>37</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n" cm="1">
        <f t="array" ref="A1152">IFERROR(INDEX('03.Muestra'!$B$8:$B$42,SMALL(IF("Página Web"='03.Muestra'!$D$8:$D$42,ROW('03.Muestra'!$B$8:$B$42)-MIN(ROW('03.Muestra'!$D$8:$D$42))+1,""),ROW()-1120)),"")</f>
        <v>1.0</v>
      </c>
      <c r="B1152" s="114" t="str" cm="1">
        <f t="array" ref="B1152">IFERROR(INDEX('03.Muestra'!$C$8:$C$42,SMALL(IF("Página Web"='03.Muestra'!$D$8:$D$42,ROW('03.Muestra'!$C$8:$C$42)-MIN(ROW('03.Muestra'!$D$8:$D$42))+1,""),ROW()-1120)),"")</f>
        <v>Home - PortCastelló</v>
      </c>
      <c r="C1152" s="114" t="str" cm="1">
        <f t="array" ref="C1152">IFERROR(INDEX('03.Muestra'!$F$8:$F$42,SMALL(IF("Página Web"='03.Muestra'!$D$8:$D$42,ROW('03.Muestra'!$F$8:$F$42)-MIN(ROW('03.Muestra'!$D$8:$D$42))+1,""),ROW()-1120)),"")</f>
        <v>https://www.portcastello.com/</v>
      </c>
      <c r="D1152" s="130" t="s">
        <v>37</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n" cm="1">
        <f t="array" ref="A1153">IFERROR(INDEX('03.Muestra'!$B$8:$B$42,SMALL(IF("Página Web"='03.Muestra'!$D$8:$D$42,ROW('03.Muestra'!$B$8:$B$42)-MIN(ROW('03.Muestra'!$D$8:$D$42))+1,""),ROW()-1120)),"")</f>
        <v>1.0</v>
      </c>
      <c r="B1153" s="114" t="str" cm="1">
        <f t="array" ref="B1153">IFERROR(INDEX('03.Muestra'!$C$8:$C$42,SMALL(IF("Página Web"='03.Muestra'!$D$8:$D$42,ROW('03.Muestra'!$C$8:$C$42)-MIN(ROW('03.Muestra'!$D$8:$D$42))+1,""),ROW()-1120)),"")</f>
        <v>Home - PortCastelló</v>
      </c>
      <c r="C1153" s="114" t="str" cm="1">
        <f t="array" ref="C1153">IFERROR(INDEX('03.Muestra'!$F$8:$F$42,SMALL(IF("Página Web"='03.Muestra'!$D$8:$D$42,ROW('03.Muestra'!$F$8:$F$42)-MIN(ROW('03.Muestra'!$D$8:$D$42))+1,""),ROW()-1120)),"")</f>
        <v>https://www.portcastello.com/</v>
      </c>
      <c r="D1153" s="130" t="s">
        <v>37</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str" cm="1">
        <f t="array" ref="A1154">IFERROR(INDEX('03.Muestra'!$B$8:$B$42,SMALL(IF("Página Web"='03.Muestra'!$D$8:$D$42,ROW('03.Muestra'!$B$8:$B$42)-MIN(ROW('03.Muestra'!$D$8:$D$42))+1,""),ROW()-1120)),"")</f>
        <v/>
      </c>
      <c r="B1154" s="114" t="str" cm="1">
        <f t="array" ref="B1154">IFERROR(INDEX('03.Muestra'!$C$8:$C$42,SMALL(IF("Página Web"='03.Muestra'!$D$8:$D$42,ROW('03.Muestra'!$C$8:$C$42)-MIN(ROW('03.Muestra'!$D$8:$D$42))+1,""),ROW()-1120)),"")</f>
        <v/>
      </c>
      <c r="C1154" s="114" t="str" cm="1">
        <f t="array" ref="C1154">IFERROR(INDEX('03.Muestra'!$F$8:$F$42,SMALL(IF("Página Web"='03.Muestra'!$D$8:$D$42,ROW('03.Muestra'!$F$8:$F$42)-MIN(ROW('03.Muestra'!$D$8:$D$42))+1,""),ROW()-1120)),"")</f>
        <v/>
      </c>
      <c r="D1154" s="130" t="str">
        <f t="shared" si="59" ref="D1154:D1155">IF(AND(B1154&lt;&gt;"",C1154&lt;&gt;""),"N/T","")</f>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268</v>
      </c>
      <c r="B1158" s="24" t="s">
        <v>90</v>
      </c>
      <c r="C1158" s="25" t="s">
        <v>403</v>
      </c>
      <c r="D1158" s="26" t="s">
        <v>32</v>
      </c>
      <c r="E1158" s="123"/>
      <c r="K1158" s="233"/>
      <c r="L1158" s="19"/>
      <c r="M1158" s="19"/>
      <c r="N1158" s="19"/>
      <c r="O1158" s="19"/>
      <c r="P1158" s="19"/>
      <c r="Q1158" s="19"/>
      <c r="R1158" s="19"/>
      <c r="S1158" s="19"/>
      <c r="T1158" s="19"/>
      <c r="U1158" s="19"/>
      <c r="V1158" s="19"/>
      <c r="W1158" s="19"/>
      <c r="X1158" s="19"/>
      <c r="Y1158" s="19"/>
    </row>
    <row r="1159" spans="1:25" ht="12" customHeight="1">
      <c r="A1159" s="219" t="n" cm="1">
        <f t="array" ref="A1159">IFERROR(INDEX('03.Muestra'!$B$8:$B$42,SMALL(IF("Página Web"='03.Muestra'!$D$8:$D$42,ROW('03.Muestra'!$B$8:$B$42)-MIN(ROW('03.Muestra'!$D$8:$D$42))+1,""),ROW()-1158)),"")</f>
        <v>1.0</v>
      </c>
      <c r="B1159" s="114" t="str" cm="1">
        <f t="array" ref="B1159">IFERROR(INDEX('03.Muestra'!$C$8:$C$42,SMALL(IF("Página Web"='03.Muestra'!$D$8:$D$42,ROW('03.Muestra'!$C$8:$C$42)-MIN(ROW('03.Muestra'!$D$8:$D$42))+1,""),ROW()-1158)),"")</f>
        <v>Home - PortCastelló</v>
      </c>
      <c r="C1159" s="114" t="str" cm="1">
        <f t="array" ref="C1159">IFERROR(INDEX('03.Muestra'!$F$8:$F$42,SMALL(IF("Página Web"='03.Muestra'!$D$8:$D$42,ROW('03.Muestra'!$F$8:$F$42)-MIN(ROW('03.Muestra'!$D$8:$D$42))+1,""),ROW()-1158)),"")</f>
        <v>https://www.portcastello.com/</v>
      </c>
      <c r="D1159" s="130" t="str">
        <f>IF(AND(B1159&lt;&gt;"",C1159&lt;&gt;""),"N/T","")</f>
        <v>N/T</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2" customHeight="1">
      <c r="A1160" s="219" t="n" cm="1">
        <f t="array" ref="A1160">IFERROR(INDEX('03.Muestra'!$B$8:$B$42,SMALL(IF("Página Web"='03.Muestra'!$D$8:$D$42,ROW('03.Muestra'!$B$8:$B$42)-MIN(ROW('03.Muestra'!$D$8:$D$42))+1,""),ROW()-1158)),"")</f>
        <v>1.0</v>
      </c>
      <c r="B1160" s="114" t="str" cm="1">
        <f t="array" ref="B1160">IFERROR(INDEX('03.Muestra'!$C$8:$C$42,SMALL(IF("Página Web"='03.Muestra'!$D$8:$D$42,ROW('03.Muestra'!$C$8:$C$42)-MIN(ROW('03.Muestra'!$D$8:$D$42))+1,""),ROW()-1158)),"")</f>
        <v>Home - PortCastelló</v>
      </c>
      <c r="C1160" s="114" t="str" cm="1">
        <f t="array" ref="C1160">IFERROR(INDEX('03.Muestra'!$F$8:$F$42,SMALL(IF("Página Web"='03.Muestra'!$D$8:$D$42,ROW('03.Muestra'!$F$8:$F$42)-MIN(ROW('03.Muestra'!$D$8:$D$42))+1,""),ROW()-1158)),"")</f>
        <v>https://www.portcastello.com/</v>
      </c>
      <c r="D1160" s="130" t="str">
        <f t="shared" ref="D1160:D1193" si="61">IF(AND(B1160&lt;&gt;"",C1160&lt;&gt;""),"N/T","")</f>
        <v>N/T</v>
      </c>
      <c r="E1160" s="107" t="str">
        <f t="shared" si="60"/>
        <v/>
      </c>
      <c r="F1160" s="120" t="n">
        <f ca="1">COUNTIF($D1159:INDIRECT("$D" &amp;  SUM(ROW()-1,'03.Muestra'!$D$45)-1),F1159)</f>
        <v>33.0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IF(COUNTIF('03.Muestra'!$D$8:$D$42,"Página Web")=0,0,COUNTBLANK($D1159:INDIRECT("$D" &amp;  SUM(ROW()-1,COUNTIF('03.Muestra'!$D$8:$D$42,"Página Web"))-1)))</f>
        <v>0.0</v>
      </c>
      <c r="L1160" s="19"/>
      <c r="M1160" s="19"/>
      <c r="N1160" s="19"/>
      <c r="O1160" s="19"/>
      <c r="P1160" s="19"/>
      <c r="Q1160" s="19"/>
      <c r="R1160" s="19"/>
      <c r="S1160" s="19"/>
      <c r="T1160" s="19"/>
      <c r="U1160" s="19"/>
      <c r="V1160" s="19"/>
      <c r="W1160" s="19"/>
      <c r="X1160" s="19"/>
      <c r="Y1160" s="19"/>
    </row>
    <row r="1161" spans="1:25" ht="12" customHeight="1">
      <c r="A1161" s="219" t="n" cm="1">
        <f t="array" ref="A1161">IFERROR(INDEX('03.Muestra'!$B$8:$B$42,SMALL(IF("Página Web"='03.Muestra'!$D$8:$D$42,ROW('03.Muestra'!$B$8:$B$42)-MIN(ROW('03.Muestra'!$D$8:$D$42))+1,""),ROW()-1158)),"")</f>
        <v>1.0</v>
      </c>
      <c r="B1161" s="114" t="str" cm="1">
        <f t="array" ref="B1161">IFERROR(INDEX('03.Muestra'!$C$8:$C$42,SMALL(IF("Página Web"='03.Muestra'!$D$8:$D$42,ROW('03.Muestra'!$C$8:$C$42)-MIN(ROW('03.Muestra'!$D$8:$D$42))+1,""),ROW()-1158)),"")</f>
        <v>Home - PortCastelló</v>
      </c>
      <c r="C1161" s="114" t="str" cm="1">
        <f t="array" ref="C1161">IFERROR(INDEX('03.Muestra'!$F$8:$F$42,SMALL(IF("Página Web"='03.Muestra'!$D$8:$D$42,ROW('03.Muestra'!$F$8:$F$42)-MIN(ROW('03.Muestra'!$D$8:$D$42))+1,""),ROW()-1158)),"")</f>
        <v>https://www.portcastello.com/</v>
      </c>
      <c r="D1161" s="130" t="str">
        <f t="shared" si="61"/>
        <v>N/T</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t="n" cm="1">
        <f t="array" ref="A1162">IFERROR(INDEX('03.Muestra'!$B$8:$B$42,SMALL(IF("Página Web"='03.Muestra'!$D$8:$D$42,ROW('03.Muestra'!$B$8:$B$42)-MIN(ROW('03.Muestra'!$D$8:$D$42))+1,""),ROW()-1158)),"")</f>
        <v>1.0</v>
      </c>
      <c r="B1162" s="114" t="str" cm="1">
        <f t="array" ref="B1162">IFERROR(INDEX('03.Muestra'!$C$8:$C$42,SMALL(IF("Página Web"='03.Muestra'!$D$8:$D$42,ROW('03.Muestra'!$C$8:$C$42)-MIN(ROW('03.Muestra'!$D$8:$D$42))+1,""),ROW()-1158)),"")</f>
        <v>Home - PortCastelló</v>
      </c>
      <c r="C1162" s="114" t="str" cm="1">
        <f t="array" ref="C1162">IFERROR(INDEX('03.Muestra'!$F$8:$F$42,SMALL(IF("Página Web"='03.Muestra'!$D$8:$D$42,ROW('03.Muestra'!$F$8:$F$42)-MIN(ROW('03.Muestra'!$D$8:$D$42))+1,""),ROW()-1158)),"")</f>
        <v>https://www.portcastello.com/</v>
      </c>
      <c r="D1162" s="130" t="str">
        <f t="shared" si="61"/>
        <v>N/T</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t="n" cm="1">
        <f t="array" ref="A1163">IFERROR(INDEX('03.Muestra'!$B$8:$B$42,SMALL(IF("Página Web"='03.Muestra'!$D$8:$D$42,ROW('03.Muestra'!$B$8:$B$42)-MIN(ROW('03.Muestra'!$D$8:$D$42))+1,""),ROW()-1158)),"")</f>
        <v>1.0</v>
      </c>
      <c r="B1163" s="114" t="str" cm="1">
        <f t="array" ref="B1163">IFERROR(INDEX('03.Muestra'!$C$8:$C$42,SMALL(IF("Página Web"='03.Muestra'!$D$8:$D$42,ROW('03.Muestra'!$C$8:$C$42)-MIN(ROW('03.Muestra'!$D$8:$D$42))+1,""),ROW()-1158)),"")</f>
        <v>Home - PortCastelló</v>
      </c>
      <c r="C1163" s="114" t="str" cm="1">
        <f t="array" ref="C1163">IFERROR(INDEX('03.Muestra'!$F$8:$F$42,SMALL(IF("Página Web"='03.Muestra'!$D$8:$D$42,ROW('03.Muestra'!$F$8:$F$42)-MIN(ROW('03.Muestra'!$D$8:$D$42))+1,""),ROW()-1158)),"")</f>
        <v>https://www.portcastello.com/</v>
      </c>
      <c r="D1163" s="130" t="str">
        <f t="shared" si="61"/>
        <v>N/T</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t="n" cm="1">
        <f t="array" ref="A1164">IFERROR(INDEX('03.Muestra'!$B$8:$B$42,SMALL(IF("Página Web"='03.Muestra'!$D$8:$D$42,ROW('03.Muestra'!$B$8:$B$42)-MIN(ROW('03.Muestra'!$D$8:$D$42))+1,""),ROW()-1158)),"")</f>
        <v>1.0</v>
      </c>
      <c r="B1164" s="114" t="str" cm="1">
        <f t="array" ref="B1164">IFERROR(INDEX('03.Muestra'!$C$8:$C$42,SMALL(IF("Página Web"='03.Muestra'!$D$8:$D$42,ROW('03.Muestra'!$C$8:$C$42)-MIN(ROW('03.Muestra'!$D$8:$D$42))+1,""),ROW()-1158)),"")</f>
        <v>Home - PortCastelló</v>
      </c>
      <c r="C1164" s="114" t="str" cm="1">
        <f t="array" ref="C1164">IFERROR(INDEX('03.Muestra'!$F$8:$F$42,SMALL(IF("Página Web"='03.Muestra'!$D$8:$D$42,ROW('03.Muestra'!$F$8:$F$42)-MIN(ROW('03.Muestra'!$D$8:$D$42))+1,""),ROW()-1158)),"")</f>
        <v>https://www.portcastello.com/</v>
      </c>
      <c r="D1164" s="130" t="str">
        <f t="shared" si="61"/>
        <v>N/T</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t="n" cm="1">
        <f t="array" ref="A1165">IFERROR(INDEX('03.Muestra'!$B$8:$B$42,SMALL(IF("Página Web"='03.Muestra'!$D$8:$D$42,ROW('03.Muestra'!$B$8:$B$42)-MIN(ROW('03.Muestra'!$D$8:$D$42))+1,""),ROW()-1158)),"")</f>
        <v>1.0</v>
      </c>
      <c r="B1165" s="114" t="str" cm="1">
        <f t="array" ref="B1165">IFERROR(INDEX('03.Muestra'!$C$8:$C$42,SMALL(IF("Página Web"='03.Muestra'!$D$8:$D$42,ROW('03.Muestra'!$C$8:$C$42)-MIN(ROW('03.Muestra'!$D$8:$D$42))+1,""),ROW()-1158)),"")</f>
        <v>Home - PortCastelló</v>
      </c>
      <c r="C1165" s="114" t="str" cm="1">
        <f t="array" ref="C1165">IFERROR(INDEX('03.Muestra'!$F$8:$F$42,SMALL(IF("Página Web"='03.Muestra'!$D$8:$D$42,ROW('03.Muestra'!$F$8:$F$42)-MIN(ROW('03.Muestra'!$D$8:$D$42))+1,""),ROW()-1158)),"")</f>
        <v>https://www.portcastello.com/</v>
      </c>
      <c r="D1165" s="130" t="str">
        <f t="shared" si="61"/>
        <v>N/T</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t="n" cm="1">
        <f t="array" ref="A1166">IFERROR(INDEX('03.Muestra'!$B$8:$B$42,SMALL(IF("Página Web"='03.Muestra'!$D$8:$D$42,ROW('03.Muestra'!$B$8:$B$42)-MIN(ROW('03.Muestra'!$D$8:$D$42))+1,""),ROW()-1158)),"")</f>
        <v>1.0</v>
      </c>
      <c r="B1166" s="114" t="str" cm="1">
        <f t="array" ref="B1166">IFERROR(INDEX('03.Muestra'!$C$8:$C$42,SMALL(IF("Página Web"='03.Muestra'!$D$8:$D$42,ROW('03.Muestra'!$C$8:$C$42)-MIN(ROW('03.Muestra'!$D$8:$D$42))+1,""),ROW()-1158)),"")</f>
        <v>Home - PortCastelló</v>
      </c>
      <c r="C1166" s="114" t="str" cm="1">
        <f t="array" ref="C1166">IFERROR(INDEX('03.Muestra'!$F$8:$F$42,SMALL(IF("Página Web"='03.Muestra'!$D$8:$D$42,ROW('03.Muestra'!$F$8:$F$42)-MIN(ROW('03.Muestra'!$D$8:$D$42))+1,""),ROW()-1158)),"")</f>
        <v>https://www.portcastello.com/</v>
      </c>
      <c r="D1166" s="130" t="str">
        <f t="shared" si="61"/>
        <v>N/T</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n" cm="1">
        <f t="array" ref="A1167">IFERROR(INDEX('03.Muestra'!$B$8:$B$42,SMALL(IF("Página Web"='03.Muestra'!$D$8:$D$42,ROW('03.Muestra'!$B$8:$B$42)-MIN(ROW('03.Muestra'!$D$8:$D$42))+1,""),ROW()-1158)),"")</f>
        <v>1.0</v>
      </c>
      <c r="B1167" s="114" t="str" cm="1">
        <f t="array" ref="B1167">IFERROR(INDEX('03.Muestra'!$C$8:$C$42,SMALL(IF("Página Web"='03.Muestra'!$D$8:$D$42,ROW('03.Muestra'!$C$8:$C$42)-MIN(ROW('03.Muestra'!$D$8:$D$42))+1,""),ROW()-1158)),"")</f>
        <v>Home - PortCastelló</v>
      </c>
      <c r="C1167" s="114" t="str" cm="1">
        <f t="array" ref="C1167">IFERROR(INDEX('03.Muestra'!$F$8:$F$42,SMALL(IF("Página Web"='03.Muestra'!$D$8:$D$42,ROW('03.Muestra'!$F$8:$F$42)-MIN(ROW('03.Muestra'!$D$8:$D$42))+1,""),ROW()-1158)),"")</f>
        <v>https://www.portcastello.com/</v>
      </c>
      <c r="D1167" s="130" t="str">
        <f t="shared" si="61"/>
        <v>N/T</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n"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Home - PortCastelló</v>
      </c>
      <c r="C1168" s="114" t="str" cm="1">
        <f t="array" ref="C1168">IFERROR(INDEX('03.Muestra'!$F$8:$F$42,SMALL(IF("Página Web"='03.Muestra'!$D$8:$D$42,ROW('03.Muestra'!$F$8:$F$42)-MIN(ROW('03.Muestra'!$D$8:$D$42))+1,""),ROW()-1158)),"")</f>
        <v>https://www.portcastello.com/</v>
      </c>
      <c r="D1168" s="130" t="str">
        <f t="shared" si="61"/>
        <v>N/T</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n" cm="1">
        <f t="array" ref="A1169">IFERROR(INDEX('03.Muestra'!$B$8:$B$42,SMALL(IF("Página Web"='03.Muestra'!$D$8:$D$42,ROW('03.Muestra'!$B$8:$B$42)-MIN(ROW('03.Muestra'!$D$8:$D$42))+1,""),ROW()-1158)),"")</f>
        <v>1.0</v>
      </c>
      <c r="B1169" s="114" t="str" cm="1">
        <f t="array" ref="B1169">IFERROR(INDEX('03.Muestra'!$C$8:$C$42,SMALL(IF("Página Web"='03.Muestra'!$D$8:$D$42,ROW('03.Muestra'!$C$8:$C$42)-MIN(ROW('03.Muestra'!$D$8:$D$42))+1,""),ROW()-1158)),"")</f>
        <v>Home - PortCastelló</v>
      </c>
      <c r="C1169" s="114" t="str" cm="1">
        <f t="array" ref="C1169">IFERROR(INDEX('03.Muestra'!$F$8:$F$42,SMALL(IF("Página Web"='03.Muestra'!$D$8:$D$42,ROW('03.Muestra'!$F$8:$F$42)-MIN(ROW('03.Muestra'!$D$8:$D$42))+1,""),ROW()-1158)),"")</f>
        <v>https://www.portcastello.com/</v>
      </c>
      <c r="D1169" s="130" t="str">
        <f t="shared" si="61"/>
        <v>N/T</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n" cm="1">
        <f t="array" ref="A1170">IFERROR(INDEX('03.Muestra'!$B$8:$B$42,SMALL(IF("Página Web"='03.Muestra'!$D$8:$D$42,ROW('03.Muestra'!$B$8:$B$42)-MIN(ROW('03.Muestra'!$D$8:$D$42))+1,""),ROW()-1158)),"")</f>
        <v>1.0</v>
      </c>
      <c r="B1170" s="114" t="str" cm="1">
        <f t="array" ref="B1170">IFERROR(INDEX('03.Muestra'!$C$8:$C$42,SMALL(IF("Página Web"='03.Muestra'!$D$8:$D$42,ROW('03.Muestra'!$C$8:$C$42)-MIN(ROW('03.Muestra'!$D$8:$D$42))+1,""),ROW()-1158)),"")</f>
        <v>Home - PortCastelló</v>
      </c>
      <c r="C1170" s="114" t="str" cm="1">
        <f t="array" ref="C1170">IFERROR(INDEX('03.Muestra'!$F$8:$F$42,SMALL(IF("Página Web"='03.Muestra'!$D$8:$D$42,ROW('03.Muestra'!$F$8:$F$42)-MIN(ROW('03.Muestra'!$D$8:$D$42))+1,""),ROW()-1158)),"")</f>
        <v>https://www.portcastello.com/</v>
      </c>
      <c r="D1170" s="130" t="str">
        <f t="shared" si="61"/>
        <v>N/T</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n" cm="1">
        <f t="array" ref="A1171">IFERROR(INDEX('03.Muestra'!$B$8:$B$42,SMALL(IF("Página Web"='03.Muestra'!$D$8:$D$42,ROW('03.Muestra'!$B$8:$B$42)-MIN(ROW('03.Muestra'!$D$8:$D$42))+1,""),ROW()-1158)),"")</f>
        <v>1.0</v>
      </c>
      <c r="B1171" s="114" t="str" cm="1">
        <f t="array" ref="B1171">IFERROR(INDEX('03.Muestra'!$C$8:$C$42,SMALL(IF("Página Web"='03.Muestra'!$D$8:$D$42,ROW('03.Muestra'!$C$8:$C$42)-MIN(ROW('03.Muestra'!$D$8:$D$42))+1,""),ROW()-1158)),"")</f>
        <v>Home - PortCastelló</v>
      </c>
      <c r="C1171" s="114" t="str" cm="1">
        <f t="array" ref="C1171">IFERROR(INDEX('03.Muestra'!$F$8:$F$42,SMALL(IF("Página Web"='03.Muestra'!$D$8:$D$42,ROW('03.Muestra'!$F$8:$F$42)-MIN(ROW('03.Muestra'!$D$8:$D$42))+1,""),ROW()-1158)),"")</f>
        <v>https://www.portcastello.com/</v>
      </c>
      <c r="D1171" s="130" t="str">
        <f t="shared" si="61"/>
        <v>N/T</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n" cm="1">
        <f t="array" ref="A1172">IFERROR(INDEX('03.Muestra'!$B$8:$B$42,SMALL(IF("Página Web"='03.Muestra'!$D$8:$D$42,ROW('03.Muestra'!$B$8:$B$42)-MIN(ROW('03.Muestra'!$D$8:$D$42))+1,""),ROW()-1158)),"")</f>
        <v>1.0</v>
      </c>
      <c r="B1172" s="114" t="str" cm="1">
        <f t="array" ref="B1172">IFERROR(INDEX('03.Muestra'!$C$8:$C$42,SMALL(IF("Página Web"='03.Muestra'!$D$8:$D$42,ROW('03.Muestra'!$C$8:$C$42)-MIN(ROW('03.Muestra'!$D$8:$D$42))+1,""),ROW()-1158)),"")</f>
        <v>Home - PortCastelló</v>
      </c>
      <c r="C1172" s="114" t="str" cm="1">
        <f t="array" ref="C1172">IFERROR(INDEX('03.Muestra'!$F$8:$F$42,SMALL(IF("Página Web"='03.Muestra'!$D$8:$D$42,ROW('03.Muestra'!$F$8:$F$42)-MIN(ROW('03.Muestra'!$D$8:$D$42))+1,""),ROW()-1158)),"")</f>
        <v>https://www.portcastello.com/</v>
      </c>
      <c r="D1172" s="130" t="str">
        <f t="shared" si="61"/>
        <v>N/T</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n" cm="1">
        <f t="array" ref="A1173">IFERROR(INDEX('03.Muestra'!$B$8:$B$42,SMALL(IF("Página Web"='03.Muestra'!$D$8:$D$42,ROW('03.Muestra'!$B$8:$B$42)-MIN(ROW('03.Muestra'!$D$8:$D$42))+1,""),ROW()-1158)),"")</f>
        <v>1.0</v>
      </c>
      <c r="B1173" s="114" t="str" cm="1">
        <f t="array" ref="B1173">IFERROR(INDEX('03.Muestra'!$C$8:$C$42,SMALL(IF("Página Web"='03.Muestra'!$D$8:$D$42,ROW('03.Muestra'!$C$8:$C$42)-MIN(ROW('03.Muestra'!$D$8:$D$42))+1,""),ROW()-1158)),"")</f>
        <v>Home - PortCastelló</v>
      </c>
      <c r="C1173" s="114" t="str" cm="1">
        <f t="array" ref="C1173">IFERROR(INDEX('03.Muestra'!$F$8:$F$42,SMALL(IF("Página Web"='03.Muestra'!$D$8:$D$42,ROW('03.Muestra'!$F$8:$F$42)-MIN(ROW('03.Muestra'!$D$8:$D$42))+1,""),ROW()-1158)),"")</f>
        <v>https://www.portcastello.com/</v>
      </c>
      <c r="D1173" s="130" t="str">
        <f t="shared" si="61"/>
        <v>N/T</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n" cm="1">
        <f t="array" ref="A1174">IFERROR(INDEX('03.Muestra'!$B$8:$B$42,SMALL(IF("Página Web"='03.Muestra'!$D$8:$D$42,ROW('03.Muestra'!$B$8:$B$42)-MIN(ROW('03.Muestra'!$D$8:$D$42))+1,""),ROW()-1158)),"")</f>
        <v>1.0</v>
      </c>
      <c r="B1174" s="114" t="str" cm="1">
        <f t="array" ref="B1174">IFERROR(INDEX('03.Muestra'!$C$8:$C$42,SMALL(IF("Página Web"='03.Muestra'!$D$8:$D$42,ROW('03.Muestra'!$C$8:$C$42)-MIN(ROW('03.Muestra'!$D$8:$D$42))+1,""),ROW()-1158)),"")</f>
        <v>Home - PortCastelló</v>
      </c>
      <c r="C1174" s="114" t="str" cm="1">
        <f t="array" ref="C1174">IFERROR(INDEX('03.Muestra'!$F$8:$F$42,SMALL(IF("Página Web"='03.Muestra'!$D$8:$D$42,ROW('03.Muestra'!$F$8:$F$42)-MIN(ROW('03.Muestra'!$D$8:$D$42))+1,""),ROW()-1158)),"")</f>
        <v>https://www.portcastello.com/</v>
      </c>
      <c r="D1174" s="130" t="str">
        <f t="shared" si="61"/>
        <v>N/T</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n" cm="1">
        <f t="array" ref="A1175">IFERROR(INDEX('03.Muestra'!$B$8:$B$42,SMALL(IF("Página Web"='03.Muestra'!$D$8:$D$42,ROW('03.Muestra'!$B$8:$B$42)-MIN(ROW('03.Muestra'!$D$8:$D$42))+1,""),ROW()-1158)),"")</f>
        <v>1.0</v>
      </c>
      <c r="B1175" s="114" t="str" cm="1">
        <f t="array" ref="B1175">IFERROR(INDEX('03.Muestra'!$C$8:$C$42,SMALL(IF("Página Web"='03.Muestra'!$D$8:$D$42,ROW('03.Muestra'!$C$8:$C$42)-MIN(ROW('03.Muestra'!$D$8:$D$42))+1,""),ROW()-1158)),"")</f>
        <v>Home - PortCastelló</v>
      </c>
      <c r="C1175" s="114" t="str" cm="1">
        <f t="array" ref="C1175">IFERROR(INDEX('03.Muestra'!$F$8:$F$42,SMALL(IF("Página Web"='03.Muestra'!$D$8:$D$42,ROW('03.Muestra'!$F$8:$F$42)-MIN(ROW('03.Muestra'!$D$8:$D$42))+1,""),ROW()-1158)),"")</f>
        <v>https://www.portcastello.com/</v>
      </c>
      <c r="D1175" s="130" t="str">
        <f t="shared" si="61"/>
        <v>N/T</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n" cm="1">
        <f t="array" ref="A1176">IFERROR(INDEX('03.Muestra'!$B$8:$B$42,SMALL(IF("Página Web"='03.Muestra'!$D$8:$D$42,ROW('03.Muestra'!$B$8:$B$42)-MIN(ROW('03.Muestra'!$D$8:$D$42))+1,""),ROW()-1158)),"")</f>
        <v>1.0</v>
      </c>
      <c r="B1176" s="114" t="str" cm="1">
        <f t="array" ref="B1176">IFERROR(INDEX('03.Muestra'!$C$8:$C$42,SMALL(IF("Página Web"='03.Muestra'!$D$8:$D$42,ROW('03.Muestra'!$C$8:$C$42)-MIN(ROW('03.Muestra'!$D$8:$D$42))+1,""),ROW()-1158)),"")</f>
        <v>Home - PortCastelló</v>
      </c>
      <c r="C1176" s="114" t="str" cm="1">
        <f t="array" ref="C1176">IFERROR(INDEX('03.Muestra'!$F$8:$F$42,SMALL(IF("Página Web"='03.Muestra'!$D$8:$D$42,ROW('03.Muestra'!$F$8:$F$42)-MIN(ROW('03.Muestra'!$D$8:$D$42))+1,""),ROW()-1158)),"")</f>
        <v>https://www.portcastello.com/</v>
      </c>
      <c r="D1176" s="130" t="str">
        <f t="shared" si="61"/>
        <v>N/T</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n" cm="1">
        <f t="array" ref="A1177">IFERROR(INDEX('03.Muestra'!$B$8:$B$42,SMALL(IF("Página Web"='03.Muestra'!$D$8:$D$42,ROW('03.Muestra'!$B$8:$B$42)-MIN(ROW('03.Muestra'!$D$8:$D$42))+1,""),ROW()-1158)),"")</f>
        <v>1.0</v>
      </c>
      <c r="B1177" s="114" t="str" cm="1">
        <f t="array" ref="B1177">IFERROR(INDEX('03.Muestra'!$C$8:$C$42,SMALL(IF("Página Web"='03.Muestra'!$D$8:$D$42,ROW('03.Muestra'!$C$8:$C$42)-MIN(ROW('03.Muestra'!$D$8:$D$42))+1,""),ROW()-1158)),"")</f>
        <v>Home - PortCastelló</v>
      </c>
      <c r="C1177" s="114" t="str" cm="1">
        <f t="array" ref="C1177">IFERROR(INDEX('03.Muestra'!$F$8:$F$42,SMALL(IF("Página Web"='03.Muestra'!$D$8:$D$42,ROW('03.Muestra'!$F$8:$F$42)-MIN(ROW('03.Muestra'!$D$8:$D$42))+1,""),ROW()-1158)),"")</f>
        <v>https://www.portcastello.com/</v>
      </c>
      <c r="D1177" s="130" t="str">
        <f t="shared" si="61"/>
        <v>N/T</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n" cm="1">
        <f t="array" ref="A1178">IFERROR(INDEX('03.Muestra'!$B$8:$B$42,SMALL(IF("Página Web"='03.Muestra'!$D$8:$D$42,ROW('03.Muestra'!$B$8:$B$42)-MIN(ROW('03.Muestra'!$D$8:$D$42))+1,""),ROW()-1158)),"")</f>
        <v>1.0</v>
      </c>
      <c r="B1178" s="114" t="str" cm="1">
        <f t="array" ref="B1178">IFERROR(INDEX('03.Muestra'!$C$8:$C$42,SMALL(IF("Página Web"='03.Muestra'!$D$8:$D$42,ROW('03.Muestra'!$C$8:$C$42)-MIN(ROW('03.Muestra'!$D$8:$D$42))+1,""),ROW()-1158)),"")</f>
        <v>Home - PortCastelló</v>
      </c>
      <c r="C1178" s="114" t="str" cm="1">
        <f t="array" ref="C1178">IFERROR(INDEX('03.Muestra'!$F$8:$F$42,SMALL(IF("Página Web"='03.Muestra'!$D$8:$D$42,ROW('03.Muestra'!$F$8:$F$42)-MIN(ROW('03.Muestra'!$D$8:$D$42))+1,""),ROW()-1158)),"")</f>
        <v>https://www.portcastello.com/</v>
      </c>
      <c r="D1178" s="130" t="str">
        <f t="shared" si="61"/>
        <v>N/T</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n" cm="1">
        <f t="array" ref="A1179">IFERROR(INDEX('03.Muestra'!$B$8:$B$42,SMALL(IF("Página Web"='03.Muestra'!$D$8:$D$42,ROW('03.Muestra'!$B$8:$B$42)-MIN(ROW('03.Muestra'!$D$8:$D$42))+1,""),ROW()-1158)),"")</f>
        <v>1.0</v>
      </c>
      <c r="B1179" s="114" t="str" cm="1">
        <f t="array" ref="B1179">IFERROR(INDEX('03.Muestra'!$C$8:$C$42,SMALL(IF("Página Web"='03.Muestra'!$D$8:$D$42,ROW('03.Muestra'!$C$8:$C$42)-MIN(ROW('03.Muestra'!$D$8:$D$42))+1,""),ROW()-1158)),"")</f>
        <v>Home - PortCastelló</v>
      </c>
      <c r="C1179" s="114" t="str" cm="1">
        <f t="array" ref="C1179">IFERROR(INDEX('03.Muestra'!$F$8:$F$42,SMALL(IF("Página Web"='03.Muestra'!$D$8:$D$42,ROW('03.Muestra'!$F$8:$F$42)-MIN(ROW('03.Muestra'!$D$8:$D$42))+1,""),ROW()-1158)),"")</f>
        <v>https://www.portcastello.com/</v>
      </c>
      <c r="D1179" s="130" t="str">
        <f t="shared" si="61"/>
        <v>N/T</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n" cm="1">
        <f t="array" ref="A1180">IFERROR(INDEX('03.Muestra'!$B$8:$B$42,SMALL(IF("Página Web"='03.Muestra'!$D$8:$D$42,ROW('03.Muestra'!$B$8:$B$42)-MIN(ROW('03.Muestra'!$D$8:$D$42))+1,""),ROW()-1158)),"")</f>
        <v>1.0</v>
      </c>
      <c r="B1180" s="114" t="str" cm="1">
        <f t="array" ref="B1180">IFERROR(INDEX('03.Muestra'!$C$8:$C$42,SMALL(IF("Página Web"='03.Muestra'!$D$8:$D$42,ROW('03.Muestra'!$C$8:$C$42)-MIN(ROW('03.Muestra'!$D$8:$D$42))+1,""),ROW()-1158)),"")</f>
        <v>Home - PortCastelló</v>
      </c>
      <c r="C1180" s="114" t="str" cm="1">
        <f t="array" ref="C1180">IFERROR(INDEX('03.Muestra'!$F$8:$F$42,SMALL(IF("Página Web"='03.Muestra'!$D$8:$D$42,ROW('03.Muestra'!$F$8:$F$42)-MIN(ROW('03.Muestra'!$D$8:$D$42))+1,""),ROW()-1158)),"")</f>
        <v>https://www.portcastello.com/</v>
      </c>
      <c r="D1180" s="130" t="str">
        <f t="shared" si="61"/>
        <v>N/T</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n" cm="1">
        <f t="array" ref="A1181">IFERROR(INDEX('03.Muestra'!$B$8:$B$42,SMALL(IF("Página Web"='03.Muestra'!$D$8:$D$42,ROW('03.Muestra'!$B$8:$B$42)-MIN(ROW('03.Muestra'!$D$8:$D$42))+1,""),ROW()-1158)),"")</f>
        <v>1.0</v>
      </c>
      <c r="B1181" s="114" t="str" cm="1">
        <f t="array" ref="B1181">IFERROR(INDEX('03.Muestra'!$C$8:$C$42,SMALL(IF("Página Web"='03.Muestra'!$D$8:$D$42,ROW('03.Muestra'!$C$8:$C$42)-MIN(ROW('03.Muestra'!$D$8:$D$42))+1,""),ROW()-1158)),"")</f>
        <v>Home - PortCastelló</v>
      </c>
      <c r="C1181" s="114" t="str" cm="1">
        <f t="array" ref="C1181">IFERROR(INDEX('03.Muestra'!$F$8:$F$42,SMALL(IF("Página Web"='03.Muestra'!$D$8:$D$42,ROW('03.Muestra'!$F$8:$F$42)-MIN(ROW('03.Muestra'!$D$8:$D$42))+1,""),ROW()-1158)),"")</f>
        <v>https://www.portcastello.com/</v>
      </c>
      <c r="D1181" s="130" t="str">
        <f t="shared" si="61"/>
        <v>N/T</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n" cm="1">
        <f t="array" ref="A1182">IFERROR(INDEX('03.Muestra'!$B$8:$B$42,SMALL(IF("Página Web"='03.Muestra'!$D$8:$D$42,ROW('03.Muestra'!$B$8:$B$42)-MIN(ROW('03.Muestra'!$D$8:$D$42))+1,""),ROW()-1158)),"")</f>
        <v>1.0</v>
      </c>
      <c r="B1182" s="114" t="str" cm="1">
        <f t="array" ref="B1182">IFERROR(INDEX('03.Muestra'!$C$8:$C$42,SMALL(IF("Página Web"='03.Muestra'!$D$8:$D$42,ROW('03.Muestra'!$C$8:$C$42)-MIN(ROW('03.Muestra'!$D$8:$D$42))+1,""),ROW()-1158)),"")</f>
        <v>Home - PortCastelló</v>
      </c>
      <c r="C1182" s="114" t="str" cm="1">
        <f t="array" ref="C1182">IFERROR(INDEX('03.Muestra'!$F$8:$F$42,SMALL(IF("Página Web"='03.Muestra'!$D$8:$D$42,ROW('03.Muestra'!$F$8:$F$42)-MIN(ROW('03.Muestra'!$D$8:$D$42))+1,""),ROW()-1158)),"")</f>
        <v>https://www.portcastello.com/</v>
      </c>
      <c r="D1182" s="130" t="str">
        <f t="shared" si="61"/>
        <v>N/T</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n" cm="1">
        <f t="array" ref="A1183">IFERROR(INDEX('03.Muestra'!$B$8:$B$42,SMALL(IF("Página Web"='03.Muestra'!$D$8:$D$42,ROW('03.Muestra'!$B$8:$B$42)-MIN(ROW('03.Muestra'!$D$8:$D$42))+1,""),ROW()-1158)),"")</f>
        <v>1.0</v>
      </c>
      <c r="B1183" s="114" t="str" cm="1">
        <f t="array" ref="B1183">IFERROR(INDEX('03.Muestra'!$C$8:$C$42,SMALL(IF("Página Web"='03.Muestra'!$D$8:$D$42,ROW('03.Muestra'!$C$8:$C$42)-MIN(ROW('03.Muestra'!$D$8:$D$42))+1,""),ROW()-1158)),"")</f>
        <v>Home - PortCastelló</v>
      </c>
      <c r="C1183" s="114" t="str" cm="1">
        <f t="array" ref="C1183">IFERROR(INDEX('03.Muestra'!$F$8:$F$42,SMALL(IF("Página Web"='03.Muestra'!$D$8:$D$42,ROW('03.Muestra'!$F$8:$F$42)-MIN(ROW('03.Muestra'!$D$8:$D$42))+1,""),ROW()-1158)),"")</f>
        <v>https://www.portcastello.com/</v>
      </c>
      <c r="D1183" s="130" t="str">
        <f t="shared" si="61"/>
        <v>N/T</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n" cm="1">
        <f t="array" ref="A1184">IFERROR(INDEX('03.Muestra'!$B$8:$B$42,SMALL(IF("Página Web"='03.Muestra'!$D$8:$D$42,ROW('03.Muestra'!$B$8:$B$42)-MIN(ROW('03.Muestra'!$D$8:$D$42))+1,""),ROW()-1158)),"")</f>
        <v>1.0</v>
      </c>
      <c r="B1184" s="114" t="str" cm="1">
        <f t="array" ref="B1184">IFERROR(INDEX('03.Muestra'!$C$8:$C$42,SMALL(IF("Página Web"='03.Muestra'!$D$8:$D$42,ROW('03.Muestra'!$C$8:$C$42)-MIN(ROW('03.Muestra'!$D$8:$D$42))+1,""),ROW()-1158)),"")</f>
        <v>Home - PortCastelló</v>
      </c>
      <c r="C1184" s="114" t="str" cm="1">
        <f t="array" ref="C1184">IFERROR(INDEX('03.Muestra'!$F$8:$F$42,SMALL(IF("Página Web"='03.Muestra'!$D$8:$D$42,ROW('03.Muestra'!$F$8:$F$42)-MIN(ROW('03.Muestra'!$D$8:$D$42))+1,""),ROW()-1158)),"")</f>
        <v>https://www.portcastello.com/</v>
      </c>
      <c r="D1184" s="130" t="str">
        <f t="shared" si="61"/>
        <v>N/T</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n" cm="1">
        <f t="array" ref="A1185">IFERROR(INDEX('03.Muestra'!$B$8:$B$42,SMALL(IF("Página Web"='03.Muestra'!$D$8:$D$42,ROW('03.Muestra'!$B$8:$B$42)-MIN(ROW('03.Muestra'!$D$8:$D$42))+1,""),ROW()-1158)),"")</f>
        <v>1.0</v>
      </c>
      <c r="B1185" s="114" t="str" cm="1">
        <f t="array" ref="B1185">IFERROR(INDEX('03.Muestra'!$C$8:$C$42,SMALL(IF("Página Web"='03.Muestra'!$D$8:$D$42,ROW('03.Muestra'!$C$8:$C$42)-MIN(ROW('03.Muestra'!$D$8:$D$42))+1,""),ROW()-1158)),"")</f>
        <v>Home - PortCastelló</v>
      </c>
      <c r="C1185" s="114" t="str" cm="1">
        <f t="array" ref="C1185">IFERROR(INDEX('03.Muestra'!$F$8:$F$42,SMALL(IF("Página Web"='03.Muestra'!$D$8:$D$42,ROW('03.Muestra'!$F$8:$F$42)-MIN(ROW('03.Muestra'!$D$8:$D$42))+1,""),ROW()-1158)),"")</f>
        <v>https://www.portcastello.com/</v>
      </c>
      <c r="D1185" s="130" t="str">
        <f t="shared" si="61"/>
        <v>N/T</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n" cm="1">
        <f t="array" ref="A1186">IFERROR(INDEX('03.Muestra'!$B$8:$B$42,SMALL(IF("Página Web"='03.Muestra'!$D$8:$D$42,ROW('03.Muestra'!$B$8:$B$42)-MIN(ROW('03.Muestra'!$D$8:$D$42))+1,""),ROW()-1158)),"")</f>
        <v>1.0</v>
      </c>
      <c r="B1186" s="114" t="str" cm="1">
        <f t="array" ref="B1186">IFERROR(INDEX('03.Muestra'!$C$8:$C$42,SMALL(IF("Página Web"='03.Muestra'!$D$8:$D$42,ROW('03.Muestra'!$C$8:$C$42)-MIN(ROW('03.Muestra'!$D$8:$D$42))+1,""),ROW()-1158)),"")</f>
        <v>Home - PortCastelló</v>
      </c>
      <c r="C1186" s="114" t="str" cm="1">
        <f t="array" ref="C1186">IFERROR(INDEX('03.Muestra'!$F$8:$F$42,SMALL(IF("Página Web"='03.Muestra'!$D$8:$D$42,ROW('03.Muestra'!$F$8:$F$42)-MIN(ROW('03.Muestra'!$D$8:$D$42))+1,""),ROW()-1158)),"")</f>
        <v>https://www.portcastello.com/</v>
      </c>
      <c r="D1186" s="130" t="str">
        <f t="shared" si="61"/>
        <v>N/T</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n" cm="1">
        <f t="array" ref="A1187">IFERROR(INDEX('03.Muestra'!$B$8:$B$42,SMALL(IF("Página Web"='03.Muestra'!$D$8:$D$42,ROW('03.Muestra'!$B$8:$B$42)-MIN(ROW('03.Muestra'!$D$8:$D$42))+1,""),ROW()-1158)),"")</f>
        <v>1.0</v>
      </c>
      <c r="B1187" s="114" t="str" cm="1">
        <f t="array" ref="B1187">IFERROR(INDEX('03.Muestra'!$C$8:$C$42,SMALL(IF("Página Web"='03.Muestra'!$D$8:$D$42,ROW('03.Muestra'!$C$8:$C$42)-MIN(ROW('03.Muestra'!$D$8:$D$42))+1,""),ROW()-1158)),"")</f>
        <v>Home - PortCastelló</v>
      </c>
      <c r="C1187" s="114" t="str" cm="1">
        <f t="array" ref="C1187">IFERROR(INDEX('03.Muestra'!$F$8:$F$42,SMALL(IF("Página Web"='03.Muestra'!$D$8:$D$42,ROW('03.Muestra'!$F$8:$F$42)-MIN(ROW('03.Muestra'!$D$8:$D$42))+1,""),ROW()-1158)),"")</f>
        <v>https://www.portcastello.com/</v>
      </c>
      <c r="D1187" s="130" t="str">
        <f t="shared" si="61"/>
        <v>N/T</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n" cm="1">
        <f t="array" ref="A1188">IFERROR(INDEX('03.Muestra'!$B$8:$B$42,SMALL(IF("Página Web"='03.Muestra'!$D$8:$D$42,ROW('03.Muestra'!$B$8:$B$42)-MIN(ROW('03.Muestra'!$D$8:$D$42))+1,""),ROW()-1158)),"")</f>
        <v>1.0</v>
      </c>
      <c r="B1188" s="114" t="str" cm="1">
        <f t="array" ref="B1188">IFERROR(INDEX('03.Muestra'!$C$8:$C$42,SMALL(IF("Página Web"='03.Muestra'!$D$8:$D$42,ROW('03.Muestra'!$C$8:$C$42)-MIN(ROW('03.Muestra'!$D$8:$D$42))+1,""),ROW()-1158)),"")</f>
        <v>Home - PortCastelló</v>
      </c>
      <c r="C1188" s="114" t="str" cm="1">
        <f t="array" ref="C1188">IFERROR(INDEX('03.Muestra'!$F$8:$F$42,SMALL(IF("Página Web"='03.Muestra'!$D$8:$D$42,ROW('03.Muestra'!$F$8:$F$42)-MIN(ROW('03.Muestra'!$D$8:$D$42))+1,""),ROW()-1158)),"")</f>
        <v>https://www.portcastello.com/</v>
      </c>
      <c r="D1188" s="130" t="str">
        <f t="shared" si="61"/>
        <v>N/T</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n" cm="1">
        <f t="array" ref="A1189">IFERROR(INDEX('03.Muestra'!$B$8:$B$42,SMALL(IF("Página Web"='03.Muestra'!$D$8:$D$42,ROW('03.Muestra'!$B$8:$B$42)-MIN(ROW('03.Muestra'!$D$8:$D$42))+1,""),ROW()-1158)),"")</f>
        <v>1.0</v>
      </c>
      <c r="B1189" s="114" t="str" cm="1">
        <f t="array" ref="B1189">IFERROR(INDEX('03.Muestra'!$C$8:$C$42,SMALL(IF("Página Web"='03.Muestra'!$D$8:$D$42,ROW('03.Muestra'!$C$8:$C$42)-MIN(ROW('03.Muestra'!$D$8:$D$42))+1,""),ROW()-1158)),"")</f>
        <v>Home - PortCastelló</v>
      </c>
      <c r="C1189" s="114" t="str" cm="1">
        <f t="array" ref="C1189">IFERROR(INDEX('03.Muestra'!$F$8:$F$42,SMALL(IF("Página Web"='03.Muestra'!$D$8:$D$42,ROW('03.Muestra'!$F$8:$F$42)-MIN(ROW('03.Muestra'!$D$8:$D$42))+1,""),ROW()-1158)),"")</f>
        <v>https://www.portcastello.com/</v>
      </c>
      <c r="D1189" s="130" t="str">
        <f t="shared" si="61"/>
        <v>N/T</v>
      </c>
      <c r="E1189" s="107" t="str">
        <f t="shared" si="60"/>
        <v/>
      </c>
      <c r="F1189" s="124"/>
      <c r="G1189" s="19"/>
      <c r="H1189" s="19"/>
      <c r="I1189" s="19"/>
      <c r="J1189" s="19"/>
      <c r="K1189" s="233"/>
      <c r="L1189" s="19"/>
    </row>
    <row r="1190" spans="1:25" ht="12" customHeight="1">
      <c r="A1190" s="219" t="n" cm="1">
        <f t="array" ref="A1190">IFERROR(INDEX('03.Muestra'!$B$8:$B$42,SMALL(IF("Página Web"='03.Muestra'!$D$8:$D$42,ROW('03.Muestra'!$B$8:$B$42)-MIN(ROW('03.Muestra'!$D$8:$D$42))+1,""),ROW()-1158)),"")</f>
        <v>1.0</v>
      </c>
      <c r="B1190" s="114" t="str" cm="1">
        <f t="array" ref="B1190">IFERROR(INDEX('03.Muestra'!$C$8:$C$42,SMALL(IF("Página Web"='03.Muestra'!$D$8:$D$42,ROW('03.Muestra'!$C$8:$C$42)-MIN(ROW('03.Muestra'!$D$8:$D$42))+1,""),ROW()-1158)),"")</f>
        <v>Home - PortCastelló</v>
      </c>
      <c r="C1190" s="114" t="str" cm="1">
        <f t="array" ref="C1190">IFERROR(INDEX('03.Muestra'!$F$8:$F$42,SMALL(IF("Página Web"='03.Muestra'!$D$8:$D$42,ROW('03.Muestra'!$F$8:$F$42)-MIN(ROW('03.Muestra'!$D$8:$D$42))+1,""),ROW()-1158)),"")</f>
        <v>https://www.portcastello.com/</v>
      </c>
      <c r="D1190" s="130" t="str">
        <f t="shared" si="61"/>
        <v>N/T</v>
      </c>
      <c r="E1190" s="107" t="str">
        <f t="shared" si="60"/>
        <v/>
      </c>
      <c r="F1190" s="124"/>
      <c r="G1190" s="19"/>
      <c r="H1190" s="19"/>
      <c r="I1190" s="19"/>
      <c r="J1190" s="19"/>
      <c r="K1190" s="233"/>
      <c r="L1190" s="19"/>
    </row>
    <row r="1191" spans="1:25" ht="12" customHeight="1">
      <c r="A1191" s="219" t="n" cm="1">
        <f t="array" ref="A1191">IFERROR(INDEX('03.Muestra'!$B$8:$B$42,SMALL(IF("Página Web"='03.Muestra'!$D$8:$D$42,ROW('03.Muestra'!$B$8:$B$42)-MIN(ROW('03.Muestra'!$D$8:$D$42))+1,""),ROW()-1158)),"")</f>
        <v>1.0</v>
      </c>
      <c r="B1191" s="114" t="str" cm="1">
        <f t="array" ref="B1191">IFERROR(INDEX('03.Muestra'!$C$8:$C$42,SMALL(IF("Página Web"='03.Muestra'!$D$8:$D$42,ROW('03.Muestra'!$C$8:$C$42)-MIN(ROW('03.Muestra'!$D$8:$D$42))+1,""),ROW()-1158)),"")</f>
        <v>Home - PortCastelló</v>
      </c>
      <c r="C1191" s="114" t="str" cm="1">
        <f t="array" ref="C1191">IFERROR(INDEX('03.Muestra'!$F$8:$F$42,SMALL(IF("Página Web"='03.Muestra'!$D$8:$D$42,ROW('03.Muestra'!$F$8:$F$42)-MIN(ROW('03.Muestra'!$D$8:$D$42))+1,""),ROW()-1158)),"")</f>
        <v>https://www.portcastello.com/</v>
      </c>
      <c r="D1191" s="130" t="str">
        <f t="shared" si="61"/>
        <v>N/T</v>
      </c>
      <c r="E1191" s="107" t="str">
        <f t="shared" si="60"/>
        <v/>
      </c>
      <c r="F1191" s="124"/>
      <c r="G1191" s="19"/>
      <c r="H1191" s="19"/>
      <c r="I1191" s="19"/>
      <c r="J1191" s="19"/>
      <c r="K1191" s="233"/>
      <c r="L1191" s="19"/>
    </row>
    <row r="1192" spans="1:25" ht="12" customHeight="1">
      <c r="A1192" s="219" t="str" cm="1">
        <f t="array" ref="A1192">IFERROR(INDEX('03.Muestra'!$B$8:$B$42,SMALL(IF("Página Web"='03.Muestra'!$D$8:$D$42,ROW('03.Muestra'!$B$8:$B$42)-MIN(ROW('03.Muestra'!$D$8:$D$42))+1,""),ROW()-1158)),"")</f>
        <v/>
      </c>
      <c r="B1192" s="114" t="str" cm="1">
        <f t="array" ref="B1192">IFERROR(INDEX('03.Muestra'!$C$8:$C$42,SMALL(IF("Página Web"='03.Muestra'!$D$8:$D$42,ROW('03.Muestra'!$C$8:$C$42)-MIN(ROW('03.Muestra'!$D$8:$D$42))+1,""),ROW()-1158)),"")</f>
        <v/>
      </c>
      <c r="C1192" s="114" t="str" cm="1">
        <f t="array" ref="C1192">IFERROR(INDEX('03.Muestra'!$F$8:$F$42,SMALL(IF("Página Web"='03.Muestra'!$D$8:$D$42,ROW('03.Muestra'!$F$8:$F$42)-MIN(ROW('03.Muestra'!$D$8:$D$42))+1,""),ROW()-1158)),"")</f>
        <v/>
      </c>
      <c r="D1192" s="130" t="str">
        <f t="shared" si="61"/>
        <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268</v>
      </c>
      <c r="B1196" s="24" t="s">
        <v>90</v>
      </c>
      <c r="C1196" s="25" t="s">
        <v>404</v>
      </c>
      <c r="D1196" s="26" t="s">
        <v>32</v>
      </c>
      <c r="E1196" s="123"/>
      <c r="K1196" s="233"/>
      <c r="L1196" s="19"/>
    </row>
    <row r="1197" spans="1:25" ht="12" customHeight="1">
      <c r="A1197" s="219" t="n" cm="1">
        <f t="array" ref="A1197">IFERROR(INDEX('03.Muestra'!$B$8:$B$42,SMALL(IF("Página Web"='03.Muestra'!$D$8:$D$42,ROW('03.Muestra'!$B$8:$B$42)-MIN(ROW('03.Muestra'!$D$8:$D$42))+1,""),ROW()-1196)),"")</f>
        <v>1.0</v>
      </c>
      <c r="B1197" s="114" t="str" cm="1">
        <f t="array" ref="B1197">IFERROR(INDEX('03.Muestra'!$C$8:$C$42,SMALL(IF("Página Web"='03.Muestra'!$D$8:$D$42,ROW('03.Muestra'!$C$8:$C$42)-MIN(ROW('03.Muestra'!$D$8:$D$42))+1,""),ROW()-1196)),"")</f>
        <v>Home - PortCastelló</v>
      </c>
      <c r="C1197" s="114" t="str" cm="1">
        <f t="array" ref="C1197">IFERROR(INDEX('03.Muestra'!$F$8:$F$42,SMALL(IF("Página Web"='03.Muestra'!$D$8:$D$42,ROW('03.Muestra'!$F$8:$F$42)-MIN(ROW('03.Muestra'!$D$8:$D$42))+1,""),ROW()-1196)),"")</f>
        <v>https://www.portcastello.com/</v>
      </c>
      <c r="D1197" s="130" t="s">
        <v>37</v>
      </c>
      <c r="E1197" s="107" t="str">
        <f t="shared" ref="E1197:E1231" si="62">IF(D1197&lt;&gt;"",IF(AND(B1197&lt;&gt;"",C1197&lt;&gt;""),"","ERR"),"")</f>
        <v/>
      </c>
      <c r="F1197" s="115" t="s">
        <v>33</v>
      </c>
      <c r="G1197" s="116" t="s">
        <v>37</v>
      </c>
      <c r="H1197" s="117" t="s">
        <v>35</v>
      </c>
      <c r="I1197" s="118" t="s">
        <v>28</v>
      </c>
      <c r="J1197" s="119" t="s">
        <v>26</v>
      </c>
      <c r="K1197" s="226" t="s">
        <v>474</v>
      </c>
      <c r="L1197" s="19"/>
    </row>
    <row r="1198" spans="1:25" ht="12" customHeight="1">
      <c r="A1198" s="219" t="n" cm="1">
        <f t="array" ref="A1198">IFERROR(INDEX('03.Muestra'!$B$8:$B$42,SMALL(IF("Página Web"='03.Muestra'!$D$8:$D$42,ROW('03.Muestra'!$B$8:$B$42)-MIN(ROW('03.Muestra'!$D$8:$D$42))+1,""),ROW()-1196)),"")</f>
        <v>1.0</v>
      </c>
      <c r="B1198" s="114" t="str" cm="1">
        <f t="array" ref="B1198">IFERROR(INDEX('03.Muestra'!$C$8:$C$42,SMALL(IF("Página Web"='03.Muestra'!$D$8:$D$42,ROW('03.Muestra'!$C$8:$C$42)-MIN(ROW('03.Muestra'!$D$8:$D$42))+1,""),ROW()-1196)),"")</f>
        <v>Home - PortCastelló</v>
      </c>
      <c r="C1198" s="114" t="str" cm="1">
        <f t="array" ref="C1198">IFERROR(INDEX('03.Muestra'!$F$8:$F$42,SMALL(IF("Página Web"='03.Muestra'!$D$8:$D$42,ROW('03.Muestra'!$F$8:$F$42)-MIN(ROW('03.Muestra'!$D$8:$D$42))+1,""),ROW()-1196)),"")</f>
        <v>https://www.portcastello.com/</v>
      </c>
      <c r="D1198" s="130" t="s">
        <v>37</v>
      </c>
      <c r="E1198" s="107" t="str">
        <f t="shared" si="62"/>
        <v/>
      </c>
      <c r="F1198" s="120" t="n">
        <f ca="1">COUNTIF($D1197:INDIRECT("$D" &amp;  SUM(ROW()-1,'03.Muestra'!$D$45)-1),F1197)</f>
        <v>0.0</v>
      </c>
      <c r="G1198" s="120" t="n">
        <f ca="1">COUNTIF($D1197:INDIRECT("$D" &amp;  SUM(ROW()-1,'03.Muestra'!$D$45)-1),G1197)</f>
        <v>33.0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IF(COUNTIF('03.Muestra'!$D$8:$D$42,"Página Web")=0,0,COUNTBLANK($D1197:INDIRECT("$D" &amp;  SUM(ROW()-1,COUNTIF('03.Muestra'!$D$8:$D$42,"Página Web"))-1)))</f>
        <v>0.0</v>
      </c>
      <c r="L1198" s="19"/>
    </row>
    <row r="1199" spans="1:25" ht="12" customHeight="1">
      <c r="A1199" s="219" t="n" cm="1">
        <f t="array" ref="A1199">IFERROR(INDEX('03.Muestra'!$B$8:$B$42,SMALL(IF("Página Web"='03.Muestra'!$D$8:$D$42,ROW('03.Muestra'!$B$8:$B$42)-MIN(ROW('03.Muestra'!$D$8:$D$42))+1,""),ROW()-1196)),"")</f>
        <v>1.0</v>
      </c>
      <c r="B1199" s="114" t="str" cm="1">
        <f t="array" ref="B1199">IFERROR(INDEX('03.Muestra'!$C$8:$C$42,SMALL(IF("Página Web"='03.Muestra'!$D$8:$D$42,ROW('03.Muestra'!$C$8:$C$42)-MIN(ROW('03.Muestra'!$D$8:$D$42))+1,""),ROW()-1196)),"")</f>
        <v>Home - PortCastelló</v>
      </c>
      <c r="C1199" s="114" t="str" cm="1">
        <f t="array" ref="C1199">IFERROR(INDEX('03.Muestra'!$F$8:$F$42,SMALL(IF("Página Web"='03.Muestra'!$D$8:$D$42,ROW('03.Muestra'!$F$8:$F$42)-MIN(ROW('03.Muestra'!$D$8:$D$42))+1,""),ROW()-1196)),"")</f>
        <v>https://www.portcastello.com/</v>
      </c>
      <c r="D1199" s="130" t="s">
        <v>37</v>
      </c>
      <c r="E1199" s="107" t="str">
        <f t="shared" si="62"/>
        <v/>
      </c>
      <c r="G1199" s="19"/>
      <c r="H1199" s="19"/>
      <c r="I1199" s="19"/>
      <c r="J1199" s="19"/>
      <c r="K1199" s="233"/>
      <c r="L1199" s="19"/>
    </row>
    <row r="1200" spans="1:25" ht="12" customHeight="1">
      <c r="A1200" s="219" t="n" cm="1">
        <f t="array" ref="A1200">IFERROR(INDEX('03.Muestra'!$B$8:$B$42,SMALL(IF("Página Web"='03.Muestra'!$D$8:$D$42,ROW('03.Muestra'!$B$8:$B$42)-MIN(ROW('03.Muestra'!$D$8:$D$42))+1,""),ROW()-1196)),"")</f>
        <v>1.0</v>
      </c>
      <c r="B1200" s="114" t="str" cm="1">
        <f t="array" ref="B1200">IFERROR(INDEX('03.Muestra'!$C$8:$C$42,SMALL(IF("Página Web"='03.Muestra'!$D$8:$D$42,ROW('03.Muestra'!$C$8:$C$42)-MIN(ROW('03.Muestra'!$D$8:$D$42))+1,""),ROW()-1196)),"")</f>
        <v>Home - PortCastelló</v>
      </c>
      <c r="C1200" s="114" t="str" cm="1">
        <f t="array" ref="C1200">IFERROR(INDEX('03.Muestra'!$F$8:$F$42,SMALL(IF("Página Web"='03.Muestra'!$D$8:$D$42,ROW('03.Muestra'!$F$8:$F$42)-MIN(ROW('03.Muestra'!$D$8:$D$42))+1,""),ROW()-1196)),"")</f>
        <v>https://www.portcastello.com/</v>
      </c>
      <c r="D1200" s="130" t="s">
        <v>37</v>
      </c>
      <c r="E1200" s="107" t="str">
        <f t="shared" si="62"/>
        <v/>
      </c>
      <c r="G1200" s="19"/>
      <c r="H1200" s="19"/>
      <c r="I1200" s="19"/>
      <c r="J1200" s="19"/>
      <c r="K1200" s="233"/>
      <c r="L1200" s="19"/>
    </row>
    <row r="1201" spans="1:12" ht="12" customHeight="1">
      <c r="A1201" s="219" t="n" cm="1">
        <f t="array" ref="A1201">IFERROR(INDEX('03.Muestra'!$B$8:$B$42,SMALL(IF("Página Web"='03.Muestra'!$D$8:$D$42,ROW('03.Muestra'!$B$8:$B$42)-MIN(ROW('03.Muestra'!$D$8:$D$42))+1,""),ROW()-1196)),"")</f>
        <v>1.0</v>
      </c>
      <c r="B1201" s="114" t="str" cm="1">
        <f t="array" ref="B1201">IFERROR(INDEX('03.Muestra'!$C$8:$C$42,SMALL(IF("Página Web"='03.Muestra'!$D$8:$D$42,ROW('03.Muestra'!$C$8:$C$42)-MIN(ROW('03.Muestra'!$D$8:$D$42))+1,""),ROW()-1196)),"")</f>
        <v>Home - PortCastelló</v>
      </c>
      <c r="C1201" s="114" t="str" cm="1">
        <f t="array" ref="C1201">IFERROR(INDEX('03.Muestra'!$F$8:$F$42,SMALL(IF("Página Web"='03.Muestra'!$D$8:$D$42,ROW('03.Muestra'!$F$8:$F$42)-MIN(ROW('03.Muestra'!$D$8:$D$42))+1,""),ROW()-1196)),"")</f>
        <v>https://www.portcastello.com/</v>
      </c>
      <c r="D1201" s="130" t="s">
        <v>37</v>
      </c>
      <c r="E1201" s="107" t="str">
        <f t="shared" si="62"/>
        <v/>
      </c>
      <c r="G1201" s="19"/>
      <c r="H1201" s="19"/>
      <c r="I1201" s="19"/>
      <c r="J1201" s="19"/>
      <c r="K1201" s="233"/>
      <c r="L1201" s="19"/>
    </row>
    <row r="1202" spans="1:12" ht="12" customHeight="1">
      <c r="A1202" s="219" t="n" cm="1">
        <f t="array" ref="A1202">IFERROR(INDEX('03.Muestra'!$B$8:$B$42,SMALL(IF("Página Web"='03.Muestra'!$D$8:$D$42,ROW('03.Muestra'!$B$8:$B$42)-MIN(ROW('03.Muestra'!$D$8:$D$42))+1,""),ROW()-1196)),"")</f>
        <v>1.0</v>
      </c>
      <c r="B1202" s="114" t="str" cm="1">
        <f t="array" ref="B1202">IFERROR(INDEX('03.Muestra'!$C$8:$C$42,SMALL(IF("Página Web"='03.Muestra'!$D$8:$D$42,ROW('03.Muestra'!$C$8:$C$42)-MIN(ROW('03.Muestra'!$D$8:$D$42))+1,""),ROW()-1196)),"")</f>
        <v>Home - PortCastelló</v>
      </c>
      <c r="C1202" s="114" t="str" cm="1">
        <f t="array" ref="C1202">IFERROR(INDEX('03.Muestra'!$F$8:$F$42,SMALL(IF("Página Web"='03.Muestra'!$D$8:$D$42,ROW('03.Muestra'!$F$8:$F$42)-MIN(ROW('03.Muestra'!$D$8:$D$42))+1,""),ROW()-1196)),"")</f>
        <v>https://www.portcastello.com/</v>
      </c>
      <c r="D1202" s="130" t="s">
        <v>37</v>
      </c>
      <c r="E1202" s="107" t="str">
        <f t="shared" si="62"/>
        <v/>
      </c>
      <c r="G1202" s="19"/>
      <c r="H1202" s="19"/>
      <c r="I1202" s="19"/>
      <c r="J1202" s="19"/>
      <c r="K1202" s="233"/>
      <c r="L1202" s="19"/>
    </row>
    <row r="1203" spans="1:12" ht="12" customHeight="1">
      <c r="A1203" s="219" t="n" cm="1">
        <f t="array" ref="A1203">IFERROR(INDEX('03.Muestra'!$B$8:$B$42,SMALL(IF("Página Web"='03.Muestra'!$D$8:$D$42,ROW('03.Muestra'!$B$8:$B$42)-MIN(ROW('03.Muestra'!$D$8:$D$42))+1,""),ROW()-1196)),"")</f>
        <v>1.0</v>
      </c>
      <c r="B1203" s="114" t="str" cm="1">
        <f t="array" ref="B1203">IFERROR(INDEX('03.Muestra'!$C$8:$C$42,SMALL(IF("Página Web"='03.Muestra'!$D$8:$D$42,ROW('03.Muestra'!$C$8:$C$42)-MIN(ROW('03.Muestra'!$D$8:$D$42))+1,""),ROW()-1196)),"")</f>
        <v>Home - PortCastelló</v>
      </c>
      <c r="C1203" s="114" t="str" cm="1">
        <f t="array" ref="C1203">IFERROR(INDEX('03.Muestra'!$F$8:$F$42,SMALL(IF("Página Web"='03.Muestra'!$D$8:$D$42,ROW('03.Muestra'!$F$8:$F$42)-MIN(ROW('03.Muestra'!$D$8:$D$42))+1,""),ROW()-1196)),"")</f>
        <v>https://www.portcastello.com/</v>
      </c>
      <c r="D1203" s="130" t="s">
        <v>37</v>
      </c>
      <c r="E1203" s="107" t="str">
        <f t="shared" si="62"/>
        <v/>
      </c>
      <c r="F1203" s="19"/>
      <c r="G1203" s="19"/>
      <c r="H1203" s="19"/>
      <c r="I1203" s="19"/>
      <c r="J1203" s="19"/>
      <c r="K1203" s="233"/>
      <c r="L1203" s="19"/>
    </row>
    <row r="1204" spans="1:12" ht="12" customHeight="1">
      <c r="A1204" s="219" t="n" cm="1">
        <f t="array" ref="A1204">IFERROR(INDEX('03.Muestra'!$B$8:$B$42,SMALL(IF("Página Web"='03.Muestra'!$D$8:$D$42,ROW('03.Muestra'!$B$8:$B$42)-MIN(ROW('03.Muestra'!$D$8:$D$42))+1,""),ROW()-1196)),"")</f>
        <v>1.0</v>
      </c>
      <c r="B1204" s="114" t="str" cm="1">
        <f t="array" ref="B1204">IFERROR(INDEX('03.Muestra'!$C$8:$C$42,SMALL(IF("Página Web"='03.Muestra'!$D$8:$D$42,ROW('03.Muestra'!$C$8:$C$42)-MIN(ROW('03.Muestra'!$D$8:$D$42))+1,""),ROW()-1196)),"")</f>
        <v>Home - PortCastelló</v>
      </c>
      <c r="C1204" s="114" t="str" cm="1">
        <f t="array" ref="C1204">IFERROR(INDEX('03.Muestra'!$F$8:$F$42,SMALL(IF("Página Web"='03.Muestra'!$D$8:$D$42,ROW('03.Muestra'!$F$8:$F$42)-MIN(ROW('03.Muestra'!$D$8:$D$42))+1,""),ROW()-1196)),"")</f>
        <v>https://www.portcastello.com/</v>
      </c>
      <c r="D1204" s="130" t="s">
        <v>37</v>
      </c>
      <c r="E1204" s="107" t="str">
        <f t="shared" si="62"/>
        <v/>
      </c>
      <c r="F1204" s="19"/>
      <c r="G1204" s="19"/>
      <c r="H1204" s="19"/>
      <c r="I1204" s="19"/>
      <c r="J1204" s="19"/>
      <c r="K1204" s="233"/>
      <c r="L1204" s="19"/>
    </row>
    <row r="1205" spans="1:12" ht="12" customHeight="1">
      <c r="A1205" s="219" t="n" cm="1">
        <f t="array" ref="A1205">IFERROR(INDEX('03.Muestra'!$B$8:$B$42,SMALL(IF("Página Web"='03.Muestra'!$D$8:$D$42,ROW('03.Muestra'!$B$8:$B$42)-MIN(ROW('03.Muestra'!$D$8:$D$42))+1,""),ROW()-1196)),"")</f>
        <v>1.0</v>
      </c>
      <c r="B1205" s="114" t="str" cm="1">
        <f t="array" ref="B1205">IFERROR(INDEX('03.Muestra'!$C$8:$C$42,SMALL(IF("Página Web"='03.Muestra'!$D$8:$D$42,ROW('03.Muestra'!$C$8:$C$42)-MIN(ROW('03.Muestra'!$D$8:$D$42))+1,""),ROW()-1196)),"")</f>
        <v>Home - PortCastelló</v>
      </c>
      <c r="C1205" s="114" t="str" cm="1">
        <f t="array" ref="C1205">IFERROR(INDEX('03.Muestra'!$F$8:$F$42,SMALL(IF("Página Web"='03.Muestra'!$D$8:$D$42,ROW('03.Muestra'!$F$8:$F$42)-MIN(ROW('03.Muestra'!$D$8:$D$42))+1,""),ROW()-1196)),"")</f>
        <v>https://www.portcastello.com/</v>
      </c>
      <c r="D1205" s="130" t="s">
        <v>37</v>
      </c>
      <c r="E1205" s="107" t="str">
        <f t="shared" si="62"/>
        <v/>
      </c>
      <c r="F1205" s="19"/>
      <c r="G1205" s="19"/>
      <c r="H1205" s="19"/>
      <c r="I1205" s="19"/>
      <c r="J1205" s="19"/>
      <c r="K1205" s="233"/>
      <c r="L1205" s="19"/>
    </row>
    <row r="1206" spans="1:12" ht="12" customHeight="1">
      <c r="A1206" s="219" t="n"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Home - PortCastelló</v>
      </c>
      <c r="C1206" s="114" t="str" cm="1">
        <f t="array" ref="C1206">IFERROR(INDEX('03.Muestra'!$F$8:$F$42,SMALL(IF("Página Web"='03.Muestra'!$D$8:$D$42,ROW('03.Muestra'!$F$8:$F$42)-MIN(ROW('03.Muestra'!$D$8:$D$42))+1,""),ROW()-1196)),"")</f>
        <v>https://www.portcastello.com/</v>
      </c>
      <c r="D1206" s="130" t="s">
        <v>37</v>
      </c>
      <c r="E1206" s="107" t="str">
        <f t="shared" si="62"/>
        <v/>
      </c>
      <c r="F1206" s="19"/>
      <c r="G1206" s="19"/>
      <c r="H1206" s="19"/>
      <c r="I1206" s="19"/>
      <c r="J1206" s="19"/>
      <c r="K1206" s="233"/>
      <c r="L1206" s="19"/>
    </row>
    <row r="1207" spans="1:12" ht="12" customHeight="1">
      <c r="A1207" s="219" t="n" cm="1">
        <f t="array" ref="A1207">IFERROR(INDEX('03.Muestra'!$B$8:$B$42,SMALL(IF("Página Web"='03.Muestra'!$D$8:$D$42,ROW('03.Muestra'!$B$8:$B$42)-MIN(ROW('03.Muestra'!$D$8:$D$42))+1,""),ROW()-1196)),"")</f>
        <v>1.0</v>
      </c>
      <c r="B1207" s="114" t="str" cm="1">
        <f t="array" ref="B1207">IFERROR(INDEX('03.Muestra'!$C$8:$C$42,SMALL(IF("Página Web"='03.Muestra'!$D$8:$D$42,ROW('03.Muestra'!$C$8:$C$42)-MIN(ROW('03.Muestra'!$D$8:$D$42))+1,""),ROW()-1196)),"")</f>
        <v>Home - PortCastelló</v>
      </c>
      <c r="C1207" s="114" t="str" cm="1">
        <f t="array" ref="C1207">IFERROR(INDEX('03.Muestra'!$F$8:$F$42,SMALL(IF("Página Web"='03.Muestra'!$D$8:$D$42,ROW('03.Muestra'!$F$8:$F$42)-MIN(ROW('03.Muestra'!$D$8:$D$42))+1,""),ROW()-1196)),"")</f>
        <v>https://www.portcastello.com/</v>
      </c>
      <c r="D1207" s="130" t="s">
        <v>37</v>
      </c>
      <c r="E1207" s="107" t="str">
        <f t="shared" si="62"/>
        <v/>
      </c>
      <c r="F1207" s="19"/>
      <c r="G1207" s="19"/>
      <c r="H1207" s="19"/>
      <c r="I1207" s="19"/>
      <c r="J1207" s="19"/>
      <c r="K1207" s="233"/>
      <c r="L1207" s="19"/>
    </row>
    <row r="1208" spans="1:12" ht="12" customHeight="1">
      <c r="A1208" s="219" t="n" cm="1">
        <f t="array" ref="A1208">IFERROR(INDEX('03.Muestra'!$B$8:$B$42,SMALL(IF("Página Web"='03.Muestra'!$D$8:$D$42,ROW('03.Muestra'!$B$8:$B$42)-MIN(ROW('03.Muestra'!$D$8:$D$42))+1,""),ROW()-1196)),"")</f>
        <v>1.0</v>
      </c>
      <c r="B1208" s="114" t="str" cm="1">
        <f t="array" ref="B1208">IFERROR(INDEX('03.Muestra'!$C$8:$C$42,SMALL(IF("Página Web"='03.Muestra'!$D$8:$D$42,ROW('03.Muestra'!$C$8:$C$42)-MIN(ROW('03.Muestra'!$D$8:$D$42))+1,""),ROW()-1196)),"")</f>
        <v>Home - PortCastelló</v>
      </c>
      <c r="C1208" s="114" t="str" cm="1">
        <f t="array" ref="C1208">IFERROR(INDEX('03.Muestra'!$F$8:$F$42,SMALL(IF("Página Web"='03.Muestra'!$D$8:$D$42,ROW('03.Muestra'!$F$8:$F$42)-MIN(ROW('03.Muestra'!$D$8:$D$42))+1,""),ROW()-1196)),"")</f>
        <v>https://www.portcastello.com/</v>
      </c>
      <c r="D1208" s="130" t="s">
        <v>37</v>
      </c>
      <c r="E1208" s="107" t="str">
        <f t="shared" si="62"/>
        <v/>
      </c>
      <c r="F1208" s="19"/>
      <c r="G1208" s="19"/>
      <c r="H1208" s="19"/>
      <c r="I1208" s="19"/>
      <c r="J1208" s="19"/>
      <c r="K1208" s="233"/>
      <c r="L1208" s="19"/>
    </row>
    <row r="1209" spans="1:12" ht="12" customHeight="1">
      <c r="A1209" s="219" t="n" cm="1">
        <f t="array" ref="A1209">IFERROR(INDEX('03.Muestra'!$B$8:$B$42,SMALL(IF("Página Web"='03.Muestra'!$D$8:$D$42,ROW('03.Muestra'!$B$8:$B$42)-MIN(ROW('03.Muestra'!$D$8:$D$42))+1,""),ROW()-1196)),"")</f>
        <v>1.0</v>
      </c>
      <c r="B1209" s="114" t="str" cm="1">
        <f t="array" ref="B1209">IFERROR(INDEX('03.Muestra'!$C$8:$C$42,SMALL(IF("Página Web"='03.Muestra'!$D$8:$D$42,ROW('03.Muestra'!$C$8:$C$42)-MIN(ROW('03.Muestra'!$D$8:$D$42))+1,""),ROW()-1196)),"")</f>
        <v>Home - PortCastelló</v>
      </c>
      <c r="C1209" s="114" t="str" cm="1">
        <f t="array" ref="C1209">IFERROR(INDEX('03.Muestra'!$F$8:$F$42,SMALL(IF("Página Web"='03.Muestra'!$D$8:$D$42,ROW('03.Muestra'!$F$8:$F$42)-MIN(ROW('03.Muestra'!$D$8:$D$42))+1,""),ROW()-1196)),"")</f>
        <v>https://www.portcastello.com/</v>
      </c>
      <c r="D1209" s="130" t="s">
        <v>37</v>
      </c>
      <c r="E1209" s="107" t="str">
        <f t="shared" si="62"/>
        <v/>
      </c>
      <c r="F1209" s="19"/>
      <c r="G1209" s="19"/>
      <c r="H1209" s="19"/>
      <c r="I1209" s="19"/>
      <c r="J1209" s="19"/>
      <c r="K1209" s="233"/>
      <c r="L1209" s="19"/>
    </row>
    <row r="1210" spans="1:12" ht="12" customHeight="1">
      <c r="A1210" s="219" t="n" cm="1">
        <f t="array" ref="A1210">IFERROR(INDEX('03.Muestra'!$B$8:$B$42,SMALL(IF("Página Web"='03.Muestra'!$D$8:$D$42,ROW('03.Muestra'!$B$8:$B$42)-MIN(ROW('03.Muestra'!$D$8:$D$42))+1,""),ROW()-1196)),"")</f>
        <v>1.0</v>
      </c>
      <c r="B1210" s="114" t="str" cm="1">
        <f t="array" ref="B1210">IFERROR(INDEX('03.Muestra'!$C$8:$C$42,SMALL(IF("Página Web"='03.Muestra'!$D$8:$D$42,ROW('03.Muestra'!$C$8:$C$42)-MIN(ROW('03.Muestra'!$D$8:$D$42))+1,""),ROW()-1196)),"")</f>
        <v>Home - PortCastelló</v>
      </c>
      <c r="C1210" s="114" t="str" cm="1">
        <f t="array" ref="C1210">IFERROR(INDEX('03.Muestra'!$F$8:$F$42,SMALL(IF("Página Web"='03.Muestra'!$D$8:$D$42,ROW('03.Muestra'!$F$8:$F$42)-MIN(ROW('03.Muestra'!$D$8:$D$42))+1,""),ROW()-1196)),"")</f>
        <v>https://www.portcastello.com/</v>
      </c>
      <c r="D1210" s="130" t="s">
        <v>37</v>
      </c>
      <c r="E1210" s="107" t="str">
        <f t="shared" si="62"/>
        <v/>
      </c>
      <c r="F1210" s="19"/>
      <c r="G1210" s="19"/>
      <c r="H1210" s="19"/>
      <c r="I1210" s="19"/>
      <c r="J1210" s="19"/>
      <c r="K1210" s="233"/>
      <c r="L1210" s="19"/>
    </row>
    <row r="1211" spans="1:12" ht="12" customHeight="1">
      <c r="A1211" s="219" t="n" cm="1">
        <f t="array" ref="A1211">IFERROR(INDEX('03.Muestra'!$B$8:$B$42,SMALL(IF("Página Web"='03.Muestra'!$D$8:$D$42,ROW('03.Muestra'!$B$8:$B$42)-MIN(ROW('03.Muestra'!$D$8:$D$42))+1,""),ROW()-1196)),"")</f>
        <v>1.0</v>
      </c>
      <c r="B1211" s="114" t="str" cm="1">
        <f t="array" ref="B1211">IFERROR(INDEX('03.Muestra'!$C$8:$C$42,SMALL(IF("Página Web"='03.Muestra'!$D$8:$D$42,ROW('03.Muestra'!$C$8:$C$42)-MIN(ROW('03.Muestra'!$D$8:$D$42))+1,""),ROW()-1196)),"")</f>
        <v>Home - PortCastelló</v>
      </c>
      <c r="C1211" s="114" t="str" cm="1">
        <f t="array" ref="C1211">IFERROR(INDEX('03.Muestra'!$F$8:$F$42,SMALL(IF("Página Web"='03.Muestra'!$D$8:$D$42,ROW('03.Muestra'!$F$8:$F$42)-MIN(ROW('03.Muestra'!$D$8:$D$42))+1,""),ROW()-1196)),"")</f>
        <v>https://www.portcastello.com/</v>
      </c>
      <c r="D1211" s="130" t="s">
        <v>37</v>
      </c>
      <c r="E1211" s="107" t="str">
        <f t="shared" si="62"/>
        <v/>
      </c>
      <c r="F1211" s="19"/>
      <c r="G1211" s="19"/>
      <c r="H1211" s="19"/>
      <c r="I1211" s="19"/>
      <c r="J1211" s="19"/>
      <c r="K1211" s="233"/>
      <c r="L1211" s="19"/>
    </row>
    <row r="1212" spans="1:12" ht="12" customHeight="1">
      <c r="A1212" s="219" t="n" cm="1">
        <f t="array" ref="A1212">IFERROR(INDEX('03.Muestra'!$B$8:$B$42,SMALL(IF("Página Web"='03.Muestra'!$D$8:$D$42,ROW('03.Muestra'!$B$8:$B$42)-MIN(ROW('03.Muestra'!$D$8:$D$42))+1,""),ROW()-1196)),"")</f>
        <v>1.0</v>
      </c>
      <c r="B1212" s="114" t="str" cm="1">
        <f t="array" ref="B1212">IFERROR(INDEX('03.Muestra'!$C$8:$C$42,SMALL(IF("Página Web"='03.Muestra'!$D$8:$D$42,ROW('03.Muestra'!$C$8:$C$42)-MIN(ROW('03.Muestra'!$D$8:$D$42))+1,""),ROW()-1196)),"")</f>
        <v>Home - PortCastelló</v>
      </c>
      <c r="C1212" s="114" t="str" cm="1">
        <f t="array" ref="C1212">IFERROR(INDEX('03.Muestra'!$F$8:$F$42,SMALL(IF("Página Web"='03.Muestra'!$D$8:$D$42,ROW('03.Muestra'!$F$8:$F$42)-MIN(ROW('03.Muestra'!$D$8:$D$42))+1,""),ROW()-1196)),"")</f>
        <v>https://www.portcastello.com/</v>
      </c>
      <c r="D1212" s="130" t="s">
        <v>37</v>
      </c>
      <c r="E1212" s="107" t="str">
        <f t="shared" si="62"/>
        <v/>
      </c>
      <c r="F1212" s="19"/>
      <c r="G1212" s="19"/>
      <c r="H1212" s="19"/>
      <c r="I1212" s="19"/>
      <c r="J1212" s="19"/>
      <c r="K1212" s="233"/>
      <c r="L1212" s="19"/>
    </row>
    <row r="1213" spans="1:12" ht="12" customHeight="1">
      <c r="A1213" s="219" t="n" cm="1">
        <f t="array" ref="A1213">IFERROR(INDEX('03.Muestra'!$B$8:$B$42,SMALL(IF("Página Web"='03.Muestra'!$D$8:$D$42,ROW('03.Muestra'!$B$8:$B$42)-MIN(ROW('03.Muestra'!$D$8:$D$42))+1,""),ROW()-1196)),"")</f>
        <v>1.0</v>
      </c>
      <c r="B1213" s="114" t="str" cm="1">
        <f t="array" ref="B1213">IFERROR(INDEX('03.Muestra'!$C$8:$C$42,SMALL(IF("Página Web"='03.Muestra'!$D$8:$D$42,ROW('03.Muestra'!$C$8:$C$42)-MIN(ROW('03.Muestra'!$D$8:$D$42))+1,""),ROW()-1196)),"")</f>
        <v>Home - PortCastelló</v>
      </c>
      <c r="C1213" s="114" t="str" cm="1">
        <f t="array" ref="C1213">IFERROR(INDEX('03.Muestra'!$F$8:$F$42,SMALL(IF("Página Web"='03.Muestra'!$D$8:$D$42,ROW('03.Muestra'!$F$8:$F$42)-MIN(ROW('03.Muestra'!$D$8:$D$42))+1,""),ROW()-1196)),"")</f>
        <v>https://www.portcastello.com/</v>
      </c>
      <c r="D1213" s="130" t="s">
        <v>37</v>
      </c>
      <c r="E1213" s="107" t="str">
        <f t="shared" si="62"/>
        <v/>
      </c>
      <c r="F1213" s="19"/>
      <c r="G1213" s="19"/>
      <c r="H1213" s="19"/>
      <c r="I1213" s="19"/>
      <c r="J1213" s="19"/>
      <c r="K1213" s="233"/>
      <c r="L1213" s="19"/>
    </row>
    <row r="1214" spans="1:12" ht="12" customHeight="1">
      <c r="A1214" s="219" t="n" cm="1">
        <f t="array" ref="A1214">IFERROR(INDEX('03.Muestra'!$B$8:$B$42,SMALL(IF("Página Web"='03.Muestra'!$D$8:$D$42,ROW('03.Muestra'!$B$8:$B$42)-MIN(ROW('03.Muestra'!$D$8:$D$42))+1,""),ROW()-1196)),"")</f>
        <v>1.0</v>
      </c>
      <c r="B1214" s="114" t="str" cm="1">
        <f t="array" ref="B1214">IFERROR(INDEX('03.Muestra'!$C$8:$C$42,SMALL(IF("Página Web"='03.Muestra'!$D$8:$D$42,ROW('03.Muestra'!$C$8:$C$42)-MIN(ROW('03.Muestra'!$D$8:$D$42))+1,""),ROW()-1196)),"")</f>
        <v>Home - PortCastelló</v>
      </c>
      <c r="C1214" s="114" t="str" cm="1">
        <f t="array" ref="C1214">IFERROR(INDEX('03.Muestra'!$F$8:$F$42,SMALL(IF("Página Web"='03.Muestra'!$D$8:$D$42,ROW('03.Muestra'!$F$8:$F$42)-MIN(ROW('03.Muestra'!$D$8:$D$42))+1,""),ROW()-1196)),"")</f>
        <v>https://www.portcastello.com/</v>
      </c>
      <c r="D1214" s="130" t="s">
        <v>37</v>
      </c>
      <c r="E1214" s="107" t="str">
        <f t="shared" si="62"/>
        <v/>
      </c>
      <c r="F1214" s="19"/>
      <c r="G1214" s="19"/>
      <c r="H1214" s="19"/>
      <c r="I1214" s="19"/>
      <c r="J1214" s="19"/>
      <c r="K1214" s="233"/>
      <c r="L1214" s="19"/>
    </row>
    <row r="1215" spans="1:12" ht="12" customHeight="1">
      <c r="A1215" s="219" t="n" cm="1">
        <f t="array" ref="A1215">IFERROR(INDEX('03.Muestra'!$B$8:$B$42,SMALL(IF("Página Web"='03.Muestra'!$D$8:$D$42,ROW('03.Muestra'!$B$8:$B$42)-MIN(ROW('03.Muestra'!$D$8:$D$42))+1,""),ROW()-1196)),"")</f>
        <v>1.0</v>
      </c>
      <c r="B1215" s="114" t="str" cm="1">
        <f t="array" ref="B1215">IFERROR(INDEX('03.Muestra'!$C$8:$C$42,SMALL(IF("Página Web"='03.Muestra'!$D$8:$D$42,ROW('03.Muestra'!$C$8:$C$42)-MIN(ROW('03.Muestra'!$D$8:$D$42))+1,""),ROW()-1196)),"")</f>
        <v>Home - PortCastelló</v>
      </c>
      <c r="C1215" s="114" t="str" cm="1">
        <f t="array" ref="C1215">IFERROR(INDEX('03.Muestra'!$F$8:$F$42,SMALL(IF("Página Web"='03.Muestra'!$D$8:$D$42,ROW('03.Muestra'!$F$8:$F$42)-MIN(ROW('03.Muestra'!$D$8:$D$42))+1,""),ROW()-1196)),"")</f>
        <v>https://www.portcastello.com/</v>
      </c>
      <c r="D1215" s="130" t="s">
        <v>37</v>
      </c>
      <c r="E1215" s="107" t="str">
        <f t="shared" si="62"/>
        <v/>
      </c>
      <c r="F1215" s="19"/>
      <c r="G1215" s="19"/>
      <c r="H1215" s="19"/>
      <c r="I1215" s="19"/>
      <c r="J1215" s="19"/>
      <c r="K1215" s="233"/>
      <c r="L1215" s="19"/>
    </row>
    <row r="1216" spans="1:12" ht="12" customHeight="1">
      <c r="A1216" s="219" t="n" cm="1">
        <f t="array" ref="A1216">IFERROR(INDEX('03.Muestra'!$B$8:$B$42,SMALL(IF("Página Web"='03.Muestra'!$D$8:$D$42,ROW('03.Muestra'!$B$8:$B$42)-MIN(ROW('03.Muestra'!$D$8:$D$42))+1,""),ROW()-1196)),"")</f>
        <v>1.0</v>
      </c>
      <c r="B1216" s="114" t="str" cm="1">
        <f t="array" ref="B1216">IFERROR(INDEX('03.Muestra'!$C$8:$C$42,SMALL(IF("Página Web"='03.Muestra'!$D$8:$D$42,ROW('03.Muestra'!$C$8:$C$42)-MIN(ROW('03.Muestra'!$D$8:$D$42))+1,""),ROW()-1196)),"")</f>
        <v>Home - PortCastelló</v>
      </c>
      <c r="C1216" s="114" t="str" cm="1">
        <f t="array" ref="C1216">IFERROR(INDEX('03.Muestra'!$F$8:$F$42,SMALL(IF("Página Web"='03.Muestra'!$D$8:$D$42,ROW('03.Muestra'!$F$8:$F$42)-MIN(ROW('03.Muestra'!$D$8:$D$42))+1,""),ROW()-1196)),"")</f>
        <v>https://www.portcastello.com/</v>
      </c>
      <c r="D1216" s="130" t="s">
        <v>37</v>
      </c>
      <c r="E1216" s="107" t="str">
        <f t="shared" si="62"/>
        <v/>
      </c>
      <c r="F1216" s="19"/>
      <c r="G1216" s="19"/>
      <c r="H1216" s="19"/>
      <c r="I1216" s="19"/>
      <c r="J1216" s="19"/>
      <c r="K1216" s="233"/>
      <c r="L1216" s="19"/>
    </row>
    <row r="1217" spans="1:12" ht="12" customHeight="1">
      <c r="A1217" s="219" t="n" cm="1">
        <f t="array" ref="A1217">IFERROR(INDEX('03.Muestra'!$B$8:$B$42,SMALL(IF("Página Web"='03.Muestra'!$D$8:$D$42,ROW('03.Muestra'!$B$8:$B$42)-MIN(ROW('03.Muestra'!$D$8:$D$42))+1,""),ROW()-1196)),"")</f>
        <v>1.0</v>
      </c>
      <c r="B1217" s="114" t="str" cm="1">
        <f t="array" ref="B1217">IFERROR(INDEX('03.Muestra'!$C$8:$C$42,SMALL(IF("Página Web"='03.Muestra'!$D$8:$D$42,ROW('03.Muestra'!$C$8:$C$42)-MIN(ROW('03.Muestra'!$D$8:$D$42))+1,""),ROW()-1196)),"")</f>
        <v>Home - PortCastelló</v>
      </c>
      <c r="C1217" s="114" t="str" cm="1">
        <f t="array" ref="C1217">IFERROR(INDEX('03.Muestra'!$F$8:$F$42,SMALL(IF("Página Web"='03.Muestra'!$D$8:$D$42,ROW('03.Muestra'!$F$8:$F$42)-MIN(ROW('03.Muestra'!$D$8:$D$42))+1,""),ROW()-1196)),"")</f>
        <v>https://www.portcastello.com/</v>
      </c>
      <c r="D1217" s="130" t="s">
        <v>37</v>
      </c>
      <c r="E1217" s="107" t="str">
        <f t="shared" si="62"/>
        <v/>
      </c>
      <c r="F1217" s="19"/>
      <c r="G1217" s="19"/>
      <c r="H1217" s="19"/>
      <c r="I1217" s="19"/>
      <c r="J1217" s="19"/>
      <c r="K1217" s="233"/>
      <c r="L1217" s="19"/>
    </row>
    <row r="1218" spans="1:12" ht="12" customHeight="1">
      <c r="A1218" s="219" t="n" cm="1">
        <f t="array" ref="A1218">IFERROR(INDEX('03.Muestra'!$B$8:$B$42,SMALL(IF("Página Web"='03.Muestra'!$D$8:$D$42,ROW('03.Muestra'!$B$8:$B$42)-MIN(ROW('03.Muestra'!$D$8:$D$42))+1,""),ROW()-1196)),"")</f>
        <v>1.0</v>
      </c>
      <c r="B1218" s="114" t="str" cm="1">
        <f t="array" ref="B1218">IFERROR(INDEX('03.Muestra'!$C$8:$C$42,SMALL(IF("Página Web"='03.Muestra'!$D$8:$D$42,ROW('03.Muestra'!$C$8:$C$42)-MIN(ROW('03.Muestra'!$D$8:$D$42))+1,""),ROW()-1196)),"")</f>
        <v>Home - PortCastelló</v>
      </c>
      <c r="C1218" s="114" t="str" cm="1">
        <f t="array" ref="C1218">IFERROR(INDEX('03.Muestra'!$F$8:$F$42,SMALL(IF("Página Web"='03.Muestra'!$D$8:$D$42,ROW('03.Muestra'!$F$8:$F$42)-MIN(ROW('03.Muestra'!$D$8:$D$42))+1,""),ROW()-1196)),"")</f>
        <v>https://www.portcastello.com/</v>
      </c>
      <c r="D1218" s="130" t="s">
        <v>37</v>
      </c>
      <c r="E1218" s="107" t="str">
        <f t="shared" si="62"/>
        <v/>
      </c>
      <c r="F1218" s="19"/>
      <c r="G1218" s="19"/>
      <c r="H1218" s="19"/>
      <c r="I1218" s="19"/>
      <c r="J1218" s="19"/>
      <c r="K1218" s="233"/>
      <c r="L1218" s="19"/>
    </row>
    <row r="1219" spans="1:12" ht="12" customHeight="1">
      <c r="A1219" s="219" t="n" cm="1">
        <f t="array" ref="A1219">IFERROR(INDEX('03.Muestra'!$B$8:$B$42,SMALL(IF("Página Web"='03.Muestra'!$D$8:$D$42,ROW('03.Muestra'!$B$8:$B$42)-MIN(ROW('03.Muestra'!$D$8:$D$42))+1,""),ROW()-1196)),"")</f>
        <v>1.0</v>
      </c>
      <c r="B1219" s="114" t="str" cm="1">
        <f t="array" ref="B1219">IFERROR(INDEX('03.Muestra'!$C$8:$C$42,SMALL(IF("Página Web"='03.Muestra'!$D$8:$D$42,ROW('03.Muestra'!$C$8:$C$42)-MIN(ROW('03.Muestra'!$D$8:$D$42))+1,""),ROW()-1196)),"")</f>
        <v>Home - PortCastelló</v>
      </c>
      <c r="C1219" s="114" t="str" cm="1">
        <f t="array" ref="C1219">IFERROR(INDEX('03.Muestra'!$F$8:$F$42,SMALL(IF("Página Web"='03.Muestra'!$D$8:$D$42,ROW('03.Muestra'!$F$8:$F$42)-MIN(ROW('03.Muestra'!$D$8:$D$42))+1,""),ROW()-1196)),"")</f>
        <v>https://www.portcastello.com/</v>
      </c>
      <c r="D1219" s="130" t="s">
        <v>37</v>
      </c>
      <c r="E1219" s="107" t="str">
        <f t="shared" si="62"/>
        <v/>
      </c>
      <c r="F1219" s="19"/>
      <c r="G1219" s="19"/>
      <c r="H1219" s="19"/>
      <c r="I1219" s="19"/>
      <c r="J1219" s="19"/>
      <c r="K1219" s="233"/>
      <c r="L1219" s="19"/>
    </row>
    <row r="1220" spans="1:12" ht="12" customHeight="1">
      <c r="A1220" s="219" t="n" cm="1">
        <f t="array" ref="A1220">IFERROR(INDEX('03.Muestra'!$B$8:$B$42,SMALL(IF("Página Web"='03.Muestra'!$D$8:$D$42,ROW('03.Muestra'!$B$8:$B$42)-MIN(ROW('03.Muestra'!$D$8:$D$42))+1,""),ROW()-1196)),"")</f>
        <v>1.0</v>
      </c>
      <c r="B1220" s="114" t="str" cm="1">
        <f t="array" ref="B1220">IFERROR(INDEX('03.Muestra'!$C$8:$C$42,SMALL(IF("Página Web"='03.Muestra'!$D$8:$D$42,ROW('03.Muestra'!$C$8:$C$42)-MIN(ROW('03.Muestra'!$D$8:$D$42))+1,""),ROW()-1196)),"")</f>
        <v>Home - PortCastelló</v>
      </c>
      <c r="C1220" s="114" t="str" cm="1">
        <f t="array" ref="C1220">IFERROR(INDEX('03.Muestra'!$F$8:$F$42,SMALL(IF("Página Web"='03.Muestra'!$D$8:$D$42,ROW('03.Muestra'!$F$8:$F$42)-MIN(ROW('03.Muestra'!$D$8:$D$42))+1,""),ROW()-1196)),"")</f>
        <v>https://www.portcastello.com/</v>
      </c>
      <c r="D1220" s="130" t="s">
        <v>37</v>
      </c>
      <c r="E1220" s="107" t="str">
        <f t="shared" si="62"/>
        <v/>
      </c>
      <c r="F1220" s="19"/>
      <c r="G1220" s="19"/>
      <c r="H1220" s="19"/>
      <c r="I1220" s="19"/>
      <c r="J1220" s="19"/>
      <c r="K1220" s="233"/>
      <c r="L1220" s="19"/>
    </row>
    <row r="1221" spans="1:12" ht="12" customHeight="1">
      <c r="A1221" s="219" t="n" cm="1">
        <f t="array" ref="A1221">IFERROR(INDEX('03.Muestra'!$B$8:$B$42,SMALL(IF("Página Web"='03.Muestra'!$D$8:$D$42,ROW('03.Muestra'!$B$8:$B$42)-MIN(ROW('03.Muestra'!$D$8:$D$42))+1,""),ROW()-1196)),"")</f>
        <v>1.0</v>
      </c>
      <c r="B1221" s="114" t="str" cm="1">
        <f t="array" ref="B1221">IFERROR(INDEX('03.Muestra'!$C$8:$C$42,SMALL(IF("Página Web"='03.Muestra'!$D$8:$D$42,ROW('03.Muestra'!$C$8:$C$42)-MIN(ROW('03.Muestra'!$D$8:$D$42))+1,""),ROW()-1196)),"")</f>
        <v>Home - PortCastelló</v>
      </c>
      <c r="C1221" s="114" t="str" cm="1">
        <f t="array" ref="C1221">IFERROR(INDEX('03.Muestra'!$F$8:$F$42,SMALL(IF("Página Web"='03.Muestra'!$D$8:$D$42,ROW('03.Muestra'!$F$8:$F$42)-MIN(ROW('03.Muestra'!$D$8:$D$42))+1,""),ROW()-1196)),"")</f>
        <v>https://www.portcastello.com/</v>
      </c>
      <c r="D1221" s="130" t="s">
        <v>37</v>
      </c>
      <c r="E1221" s="107" t="str">
        <f t="shared" si="62"/>
        <v/>
      </c>
      <c r="F1221" s="19"/>
      <c r="G1221" s="19"/>
      <c r="H1221" s="19"/>
      <c r="I1221" s="19"/>
      <c r="J1221" s="19"/>
      <c r="K1221" s="233"/>
      <c r="L1221" s="19"/>
    </row>
    <row r="1222" spans="1:12" ht="12" customHeight="1">
      <c r="A1222" s="219" t="n" cm="1">
        <f t="array" ref="A1222">IFERROR(INDEX('03.Muestra'!$B$8:$B$42,SMALL(IF("Página Web"='03.Muestra'!$D$8:$D$42,ROW('03.Muestra'!$B$8:$B$42)-MIN(ROW('03.Muestra'!$D$8:$D$42))+1,""),ROW()-1196)),"")</f>
        <v>1.0</v>
      </c>
      <c r="B1222" s="114" t="str" cm="1">
        <f t="array" ref="B1222">IFERROR(INDEX('03.Muestra'!$C$8:$C$42,SMALL(IF("Página Web"='03.Muestra'!$D$8:$D$42,ROW('03.Muestra'!$C$8:$C$42)-MIN(ROW('03.Muestra'!$D$8:$D$42))+1,""),ROW()-1196)),"")</f>
        <v>Home - PortCastelló</v>
      </c>
      <c r="C1222" s="114" t="str" cm="1">
        <f t="array" ref="C1222">IFERROR(INDEX('03.Muestra'!$F$8:$F$42,SMALL(IF("Página Web"='03.Muestra'!$D$8:$D$42,ROW('03.Muestra'!$F$8:$F$42)-MIN(ROW('03.Muestra'!$D$8:$D$42))+1,""),ROW()-1196)),"")</f>
        <v>https://www.portcastello.com/</v>
      </c>
      <c r="D1222" s="130" t="s">
        <v>37</v>
      </c>
      <c r="E1222" s="107" t="str">
        <f t="shared" si="62"/>
        <v/>
      </c>
      <c r="F1222" s="19"/>
      <c r="G1222" s="19"/>
      <c r="H1222" s="19"/>
      <c r="I1222" s="19"/>
      <c r="J1222" s="19"/>
      <c r="K1222" s="233"/>
      <c r="L1222" s="19"/>
    </row>
    <row r="1223" spans="1:12" ht="12" customHeight="1">
      <c r="A1223" s="219" t="n" cm="1">
        <f t="array" ref="A1223">IFERROR(INDEX('03.Muestra'!$B$8:$B$42,SMALL(IF("Página Web"='03.Muestra'!$D$8:$D$42,ROW('03.Muestra'!$B$8:$B$42)-MIN(ROW('03.Muestra'!$D$8:$D$42))+1,""),ROW()-1196)),"")</f>
        <v>1.0</v>
      </c>
      <c r="B1223" s="114" t="str" cm="1">
        <f t="array" ref="B1223">IFERROR(INDEX('03.Muestra'!$C$8:$C$42,SMALL(IF("Página Web"='03.Muestra'!$D$8:$D$42,ROW('03.Muestra'!$C$8:$C$42)-MIN(ROW('03.Muestra'!$D$8:$D$42))+1,""),ROW()-1196)),"")</f>
        <v>Home - PortCastelló</v>
      </c>
      <c r="C1223" s="114" t="str" cm="1">
        <f t="array" ref="C1223">IFERROR(INDEX('03.Muestra'!$F$8:$F$42,SMALL(IF("Página Web"='03.Muestra'!$D$8:$D$42,ROW('03.Muestra'!$F$8:$F$42)-MIN(ROW('03.Muestra'!$D$8:$D$42))+1,""),ROW()-1196)),"")</f>
        <v>https://www.portcastello.com/</v>
      </c>
      <c r="D1223" s="130" t="s">
        <v>37</v>
      </c>
      <c r="E1223" s="107" t="str">
        <f t="shared" si="62"/>
        <v/>
      </c>
      <c r="F1223" s="19"/>
      <c r="G1223" s="19"/>
      <c r="H1223" s="19"/>
      <c r="I1223" s="19"/>
      <c r="J1223" s="19"/>
      <c r="K1223" s="233"/>
      <c r="L1223" s="19"/>
    </row>
    <row r="1224" spans="1:12" ht="12" customHeight="1">
      <c r="A1224" s="219" t="n" cm="1">
        <f t="array" ref="A1224">IFERROR(INDEX('03.Muestra'!$B$8:$B$42,SMALL(IF("Página Web"='03.Muestra'!$D$8:$D$42,ROW('03.Muestra'!$B$8:$B$42)-MIN(ROW('03.Muestra'!$D$8:$D$42))+1,""),ROW()-1196)),"")</f>
        <v>1.0</v>
      </c>
      <c r="B1224" s="114" t="str" cm="1">
        <f t="array" ref="B1224">IFERROR(INDEX('03.Muestra'!$C$8:$C$42,SMALL(IF("Página Web"='03.Muestra'!$D$8:$D$42,ROW('03.Muestra'!$C$8:$C$42)-MIN(ROW('03.Muestra'!$D$8:$D$42))+1,""),ROW()-1196)),"")</f>
        <v>Home - PortCastelló</v>
      </c>
      <c r="C1224" s="114" t="str" cm="1">
        <f t="array" ref="C1224">IFERROR(INDEX('03.Muestra'!$F$8:$F$42,SMALL(IF("Página Web"='03.Muestra'!$D$8:$D$42,ROW('03.Muestra'!$F$8:$F$42)-MIN(ROW('03.Muestra'!$D$8:$D$42))+1,""),ROW()-1196)),"")</f>
        <v>https://www.portcastello.com/</v>
      </c>
      <c r="D1224" s="130" t="s">
        <v>37</v>
      </c>
      <c r="E1224" s="107" t="str">
        <f t="shared" si="62"/>
        <v/>
      </c>
      <c r="G1224" s="19"/>
      <c r="H1224" s="19"/>
      <c r="I1224" s="19"/>
      <c r="J1224" s="19"/>
      <c r="K1224" s="233"/>
      <c r="L1224" s="19"/>
    </row>
    <row r="1225" spans="1:12" ht="12" customHeight="1">
      <c r="A1225" s="219" t="n" cm="1">
        <f t="array" ref="A1225">IFERROR(INDEX('03.Muestra'!$B$8:$B$42,SMALL(IF("Página Web"='03.Muestra'!$D$8:$D$42,ROW('03.Muestra'!$B$8:$B$42)-MIN(ROW('03.Muestra'!$D$8:$D$42))+1,""),ROW()-1196)),"")</f>
        <v>1.0</v>
      </c>
      <c r="B1225" s="114" t="str" cm="1">
        <f t="array" ref="B1225">IFERROR(INDEX('03.Muestra'!$C$8:$C$42,SMALL(IF("Página Web"='03.Muestra'!$D$8:$D$42,ROW('03.Muestra'!$C$8:$C$42)-MIN(ROW('03.Muestra'!$D$8:$D$42))+1,""),ROW()-1196)),"")</f>
        <v>Home - PortCastelló</v>
      </c>
      <c r="C1225" s="114" t="str" cm="1">
        <f t="array" ref="C1225">IFERROR(INDEX('03.Muestra'!$F$8:$F$42,SMALL(IF("Página Web"='03.Muestra'!$D$8:$D$42,ROW('03.Muestra'!$F$8:$F$42)-MIN(ROW('03.Muestra'!$D$8:$D$42))+1,""),ROW()-1196)),"")</f>
        <v>https://www.portcastello.com/</v>
      </c>
      <c r="D1225" s="130" t="s">
        <v>37</v>
      </c>
      <c r="E1225" s="107" t="str">
        <f t="shared" si="62"/>
        <v/>
      </c>
      <c r="F1225" s="124"/>
      <c r="G1225" s="19"/>
      <c r="H1225" s="19"/>
      <c r="I1225" s="19"/>
      <c r="J1225" s="19"/>
      <c r="K1225" s="233"/>
      <c r="L1225" s="19"/>
    </row>
    <row r="1226" spans="1:12" ht="12" customHeight="1">
      <c r="A1226" s="219" t="n" cm="1">
        <f t="array" ref="A1226">IFERROR(INDEX('03.Muestra'!$B$8:$B$42,SMALL(IF("Página Web"='03.Muestra'!$D$8:$D$42,ROW('03.Muestra'!$B$8:$B$42)-MIN(ROW('03.Muestra'!$D$8:$D$42))+1,""),ROW()-1196)),"")</f>
        <v>1.0</v>
      </c>
      <c r="B1226" s="114" t="str" cm="1">
        <f t="array" ref="B1226">IFERROR(INDEX('03.Muestra'!$C$8:$C$42,SMALL(IF("Página Web"='03.Muestra'!$D$8:$D$42,ROW('03.Muestra'!$C$8:$C$42)-MIN(ROW('03.Muestra'!$D$8:$D$42))+1,""),ROW()-1196)),"")</f>
        <v>Home - PortCastelló</v>
      </c>
      <c r="C1226" s="114" t="str" cm="1">
        <f t="array" ref="C1226">IFERROR(INDEX('03.Muestra'!$F$8:$F$42,SMALL(IF("Página Web"='03.Muestra'!$D$8:$D$42,ROW('03.Muestra'!$F$8:$F$42)-MIN(ROW('03.Muestra'!$D$8:$D$42))+1,""),ROW()-1196)),"")</f>
        <v>https://www.portcastello.com/</v>
      </c>
      <c r="D1226" s="130" t="s">
        <v>37</v>
      </c>
      <c r="E1226" s="107" t="str">
        <f t="shared" si="62"/>
        <v/>
      </c>
      <c r="F1226" s="124"/>
      <c r="G1226" s="19"/>
      <c r="H1226" s="19"/>
      <c r="I1226" s="19"/>
      <c r="J1226" s="19"/>
      <c r="K1226" s="233"/>
      <c r="L1226" s="19"/>
    </row>
    <row r="1227" spans="1:12" ht="12" customHeight="1">
      <c r="A1227" s="219" t="n" cm="1">
        <f t="array" ref="A1227">IFERROR(INDEX('03.Muestra'!$B$8:$B$42,SMALL(IF("Página Web"='03.Muestra'!$D$8:$D$42,ROW('03.Muestra'!$B$8:$B$42)-MIN(ROW('03.Muestra'!$D$8:$D$42))+1,""),ROW()-1196)),"")</f>
        <v>1.0</v>
      </c>
      <c r="B1227" s="114" t="str" cm="1">
        <f t="array" ref="B1227">IFERROR(INDEX('03.Muestra'!$C$8:$C$42,SMALL(IF("Página Web"='03.Muestra'!$D$8:$D$42,ROW('03.Muestra'!$C$8:$C$42)-MIN(ROW('03.Muestra'!$D$8:$D$42))+1,""),ROW()-1196)),"")</f>
        <v>Home - PortCastelló</v>
      </c>
      <c r="C1227" s="114" t="str" cm="1">
        <f t="array" ref="C1227">IFERROR(INDEX('03.Muestra'!$F$8:$F$42,SMALL(IF("Página Web"='03.Muestra'!$D$8:$D$42,ROW('03.Muestra'!$F$8:$F$42)-MIN(ROW('03.Muestra'!$D$8:$D$42))+1,""),ROW()-1196)),"")</f>
        <v>https://www.portcastello.com/</v>
      </c>
      <c r="D1227" s="130" t="s">
        <v>37</v>
      </c>
      <c r="E1227" s="107" t="str">
        <f t="shared" si="62"/>
        <v/>
      </c>
      <c r="F1227" s="124"/>
      <c r="G1227" s="19"/>
      <c r="H1227" s="19"/>
      <c r="I1227" s="19"/>
      <c r="J1227" s="19"/>
      <c r="K1227" s="233"/>
      <c r="L1227" s="19"/>
    </row>
    <row r="1228" spans="1:12" ht="12" customHeight="1">
      <c r="A1228" s="219" t="n" cm="1">
        <f t="array" ref="A1228">IFERROR(INDEX('03.Muestra'!$B$8:$B$42,SMALL(IF("Página Web"='03.Muestra'!$D$8:$D$42,ROW('03.Muestra'!$B$8:$B$42)-MIN(ROW('03.Muestra'!$D$8:$D$42))+1,""),ROW()-1196)),"")</f>
        <v>1.0</v>
      </c>
      <c r="B1228" s="114" t="str" cm="1">
        <f t="array" ref="B1228">IFERROR(INDEX('03.Muestra'!$C$8:$C$42,SMALL(IF("Página Web"='03.Muestra'!$D$8:$D$42,ROW('03.Muestra'!$C$8:$C$42)-MIN(ROW('03.Muestra'!$D$8:$D$42))+1,""),ROW()-1196)),"")</f>
        <v>Home - PortCastelló</v>
      </c>
      <c r="C1228" s="114" t="str" cm="1">
        <f t="array" ref="C1228">IFERROR(INDEX('03.Muestra'!$F$8:$F$42,SMALL(IF("Página Web"='03.Muestra'!$D$8:$D$42,ROW('03.Muestra'!$F$8:$F$42)-MIN(ROW('03.Muestra'!$D$8:$D$42))+1,""),ROW()-1196)),"")</f>
        <v>https://www.portcastello.com/</v>
      </c>
      <c r="D1228" s="130" t="s">
        <v>37</v>
      </c>
      <c r="E1228" s="107" t="str">
        <f t="shared" si="62"/>
        <v/>
      </c>
      <c r="F1228" s="124"/>
      <c r="G1228" s="19"/>
      <c r="H1228" s="19"/>
      <c r="I1228" s="19"/>
      <c r="J1228" s="19"/>
      <c r="K1228" s="233"/>
      <c r="L1228" s="19"/>
    </row>
    <row r="1229" spans="1:12" ht="12" customHeight="1">
      <c r="A1229" s="219" t="n" cm="1">
        <f t="array" ref="A1229">IFERROR(INDEX('03.Muestra'!$B$8:$B$42,SMALL(IF("Página Web"='03.Muestra'!$D$8:$D$42,ROW('03.Muestra'!$B$8:$B$42)-MIN(ROW('03.Muestra'!$D$8:$D$42))+1,""),ROW()-1196)),"")</f>
        <v>1.0</v>
      </c>
      <c r="B1229" s="114" t="str" cm="1">
        <f t="array" ref="B1229">IFERROR(INDEX('03.Muestra'!$C$8:$C$42,SMALL(IF("Página Web"='03.Muestra'!$D$8:$D$42,ROW('03.Muestra'!$C$8:$C$42)-MIN(ROW('03.Muestra'!$D$8:$D$42))+1,""),ROW()-1196)),"")</f>
        <v>Home - PortCastelló</v>
      </c>
      <c r="C1229" s="114" t="str" cm="1">
        <f t="array" ref="C1229">IFERROR(INDEX('03.Muestra'!$F$8:$F$42,SMALL(IF("Página Web"='03.Muestra'!$D$8:$D$42,ROW('03.Muestra'!$F$8:$F$42)-MIN(ROW('03.Muestra'!$D$8:$D$42))+1,""),ROW()-1196)),"")</f>
        <v>https://www.portcastello.com/</v>
      </c>
      <c r="D1229" s="130" t="s">
        <v>37</v>
      </c>
      <c r="E1229" s="107" t="str">
        <f t="shared" si="62"/>
        <v/>
      </c>
      <c r="F1229" s="124"/>
      <c r="G1229" s="19"/>
      <c r="H1229" s="19"/>
      <c r="I1229" s="19"/>
      <c r="J1229" s="19"/>
      <c r="K1229" s="233"/>
      <c r="L1229" s="19"/>
    </row>
    <row r="1230" spans="1:12" ht="12" customHeight="1">
      <c r="A1230" s="219" t="str" cm="1">
        <f t="array" ref="A1230">IFERROR(INDEX('03.Muestra'!$B$8:$B$42,SMALL(IF("Página Web"='03.Muestra'!$D$8:$D$42,ROW('03.Muestra'!$B$8:$B$42)-MIN(ROW('03.Muestra'!$D$8:$D$42))+1,""),ROW()-1196)),"")</f>
        <v/>
      </c>
      <c r="B1230" s="114" t="str" cm="1">
        <f t="array" ref="B1230">IFERROR(INDEX('03.Muestra'!$C$8:$C$42,SMALL(IF("Página Web"='03.Muestra'!$D$8:$D$42,ROW('03.Muestra'!$C$8:$C$42)-MIN(ROW('03.Muestra'!$D$8:$D$42))+1,""),ROW()-1196)),"")</f>
        <v/>
      </c>
      <c r="C1230" s="114" t="str" cm="1">
        <f t="array" ref="C1230">IFERROR(INDEX('03.Muestra'!$F$8:$F$42,SMALL(IF("Página Web"='03.Muestra'!$D$8:$D$42,ROW('03.Muestra'!$F$8:$F$42)-MIN(ROW('03.Muestra'!$D$8:$D$42))+1,""),ROW()-1196)),"")</f>
        <v/>
      </c>
      <c r="D1230" s="130" t="str">
        <f t="shared" si="63" ref="D1230:D1231">IF(AND(B1230&lt;&gt;"",C1230&lt;&gt;""),"N/T","")</f>
        <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268</v>
      </c>
      <c r="B1234" s="24" t="s">
        <v>90</v>
      </c>
      <c r="C1234" s="25" t="s">
        <v>405</v>
      </c>
      <c r="D1234" s="26" t="s">
        <v>32</v>
      </c>
      <c r="E1234" s="123"/>
      <c r="K1234" s="233"/>
      <c r="L1234" s="19"/>
    </row>
    <row r="1235" spans="1:12" ht="12" customHeight="1">
      <c r="A1235" s="219" t="n" cm="1">
        <f t="array" ref="A1235">IFERROR(INDEX('03.Muestra'!$B$8:$B$42,SMALL(IF("Página Web"='03.Muestra'!$D$8:$D$42,ROW('03.Muestra'!$B$8:$B$42)-MIN(ROW('03.Muestra'!$D$8:$D$42))+1,""),ROW()-1234)),"")</f>
        <v>1.0</v>
      </c>
      <c r="B1235" s="114" t="str" cm="1">
        <f t="array" ref="B1235">IFERROR(INDEX('03.Muestra'!$C$8:$C$42,SMALL(IF("Página Web"='03.Muestra'!$D$8:$D$42,ROW('03.Muestra'!$C$8:$C$42)-MIN(ROW('03.Muestra'!$D$8:$D$42))+1,""),ROW()-1234)),"")</f>
        <v>Home - PortCastelló</v>
      </c>
      <c r="C1235" s="114" t="str" cm="1">
        <f t="array" ref="C1235">IFERROR(INDEX('03.Muestra'!$F$8:$F$42,SMALL(IF("Página Web"='03.Muestra'!$D$8:$D$42,ROW('03.Muestra'!$F$8:$F$42)-MIN(ROW('03.Muestra'!$D$8:$D$42))+1,""),ROW()-1234)),"")</f>
        <v>https://www.portcastello.com/</v>
      </c>
      <c r="D1235" s="130" t="str">
        <f>IF(AND(B1235&lt;&gt;"",C1235&lt;&gt;""),"N/T","")</f>
        <v>N/T</v>
      </c>
      <c r="E1235" s="107" t="str">
        <f t="shared" ref="E1235:E1269" si="64">IF(D1235&lt;&gt;"",IF(AND(B1235&lt;&gt;"",C1235&lt;&gt;""),"","ERR"),"")</f>
        <v/>
      </c>
      <c r="F1235" s="115" t="s">
        <v>33</v>
      </c>
      <c r="G1235" s="116" t="s">
        <v>37</v>
      </c>
      <c r="H1235" s="117" t="s">
        <v>35</v>
      </c>
      <c r="I1235" s="118" t="s">
        <v>28</v>
      </c>
      <c r="J1235" s="119" t="s">
        <v>26</v>
      </c>
      <c r="K1235" s="226" t="s">
        <v>474</v>
      </c>
      <c r="L1235" s="19"/>
    </row>
    <row r="1236" spans="1:12" ht="12" customHeight="1">
      <c r="A1236" s="219" t="n" cm="1">
        <f t="array" ref="A1236">IFERROR(INDEX('03.Muestra'!$B$8:$B$42,SMALL(IF("Página Web"='03.Muestra'!$D$8:$D$42,ROW('03.Muestra'!$B$8:$B$42)-MIN(ROW('03.Muestra'!$D$8:$D$42))+1,""),ROW()-1234)),"")</f>
        <v>1.0</v>
      </c>
      <c r="B1236" s="114" t="str" cm="1">
        <f t="array" ref="B1236">IFERROR(INDEX('03.Muestra'!$C$8:$C$42,SMALL(IF("Página Web"='03.Muestra'!$D$8:$D$42,ROW('03.Muestra'!$C$8:$C$42)-MIN(ROW('03.Muestra'!$D$8:$D$42))+1,""),ROW()-1234)),"")</f>
        <v>Home - PortCastelló</v>
      </c>
      <c r="C1236" s="114" t="str" cm="1">
        <f t="array" ref="C1236">IFERROR(INDEX('03.Muestra'!$F$8:$F$42,SMALL(IF("Página Web"='03.Muestra'!$D$8:$D$42,ROW('03.Muestra'!$F$8:$F$42)-MIN(ROW('03.Muestra'!$D$8:$D$42))+1,""),ROW()-1234)),"")</f>
        <v>https://www.portcastello.com/</v>
      </c>
      <c r="D1236" s="130" t="str">
        <f t="shared" ref="D1236:D1269" si="65">IF(AND(B1236&lt;&gt;"",C1236&lt;&gt;""),"N/T","")</f>
        <v>N/T</v>
      </c>
      <c r="E1236" s="107" t="str">
        <f t="shared" si="64"/>
        <v/>
      </c>
      <c r="F1236" s="120" t="n">
        <f ca="1">COUNTIF($D1235:INDIRECT("$D" &amp;  SUM(ROW()-1,'03.Muestra'!$D$45)-1),F1235)</f>
        <v>33.0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IF(COUNTIF('03.Muestra'!$D$8:$D$42,"Página Web")=0,0,COUNTBLANK($D1235:INDIRECT("$D" &amp;  SUM(ROW()-1,COUNTIF('03.Muestra'!$D$8:$D$42,"Página Web"))-1)))</f>
        <v>0.0</v>
      </c>
      <c r="L1236" s="19"/>
    </row>
    <row r="1237" spans="1:12" ht="12" customHeight="1">
      <c r="A1237" s="219" t="n" cm="1">
        <f t="array" ref="A1237">IFERROR(INDEX('03.Muestra'!$B$8:$B$42,SMALL(IF("Página Web"='03.Muestra'!$D$8:$D$42,ROW('03.Muestra'!$B$8:$B$42)-MIN(ROW('03.Muestra'!$D$8:$D$42))+1,""),ROW()-1234)),"")</f>
        <v>1.0</v>
      </c>
      <c r="B1237" s="114" t="str" cm="1">
        <f t="array" ref="B1237">IFERROR(INDEX('03.Muestra'!$C$8:$C$42,SMALL(IF("Página Web"='03.Muestra'!$D$8:$D$42,ROW('03.Muestra'!$C$8:$C$42)-MIN(ROW('03.Muestra'!$D$8:$D$42))+1,""),ROW()-1234)),"")</f>
        <v>Home - PortCastelló</v>
      </c>
      <c r="C1237" s="114" t="str" cm="1">
        <f t="array" ref="C1237">IFERROR(INDEX('03.Muestra'!$F$8:$F$42,SMALL(IF("Página Web"='03.Muestra'!$D$8:$D$42,ROW('03.Muestra'!$F$8:$F$42)-MIN(ROW('03.Muestra'!$D$8:$D$42))+1,""),ROW()-1234)),"")</f>
        <v>https://www.portcastello.com/</v>
      </c>
      <c r="D1237" s="130" t="str">
        <f t="shared" si="65"/>
        <v>N/T</v>
      </c>
      <c r="E1237" s="107" t="str">
        <f t="shared" si="64"/>
        <v/>
      </c>
      <c r="G1237" s="19"/>
      <c r="H1237" s="19"/>
      <c r="I1237" s="19"/>
      <c r="J1237" s="19"/>
      <c r="K1237" s="233"/>
      <c r="L1237" s="19"/>
    </row>
    <row r="1238" spans="1:12" ht="12" customHeight="1">
      <c r="A1238" s="219" t="n" cm="1">
        <f t="array" ref="A1238">IFERROR(INDEX('03.Muestra'!$B$8:$B$42,SMALL(IF("Página Web"='03.Muestra'!$D$8:$D$42,ROW('03.Muestra'!$B$8:$B$42)-MIN(ROW('03.Muestra'!$D$8:$D$42))+1,""),ROW()-1234)),"")</f>
        <v>1.0</v>
      </c>
      <c r="B1238" s="114" t="str" cm="1">
        <f t="array" ref="B1238">IFERROR(INDEX('03.Muestra'!$C$8:$C$42,SMALL(IF("Página Web"='03.Muestra'!$D$8:$D$42,ROW('03.Muestra'!$C$8:$C$42)-MIN(ROW('03.Muestra'!$D$8:$D$42))+1,""),ROW()-1234)),"")</f>
        <v>Home - PortCastelló</v>
      </c>
      <c r="C1238" s="114" t="str" cm="1">
        <f t="array" ref="C1238">IFERROR(INDEX('03.Muestra'!$F$8:$F$42,SMALL(IF("Página Web"='03.Muestra'!$D$8:$D$42,ROW('03.Muestra'!$F$8:$F$42)-MIN(ROW('03.Muestra'!$D$8:$D$42))+1,""),ROW()-1234)),"")</f>
        <v>https://www.portcastello.com/</v>
      </c>
      <c r="D1238" s="130" t="str">
        <f t="shared" si="65"/>
        <v>N/T</v>
      </c>
      <c r="E1238" s="107" t="str">
        <f t="shared" si="64"/>
        <v/>
      </c>
      <c r="G1238" s="19"/>
      <c r="H1238" s="19"/>
      <c r="I1238" s="19"/>
      <c r="J1238" s="19"/>
      <c r="K1238" s="233"/>
      <c r="L1238" s="19"/>
    </row>
    <row r="1239" spans="1:12" ht="12" customHeight="1">
      <c r="A1239" s="219" t="n" cm="1">
        <f t="array" ref="A1239">IFERROR(INDEX('03.Muestra'!$B$8:$B$42,SMALL(IF("Página Web"='03.Muestra'!$D$8:$D$42,ROW('03.Muestra'!$B$8:$B$42)-MIN(ROW('03.Muestra'!$D$8:$D$42))+1,""),ROW()-1234)),"")</f>
        <v>1.0</v>
      </c>
      <c r="B1239" s="114" t="str" cm="1">
        <f t="array" ref="B1239">IFERROR(INDEX('03.Muestra'!$C$8:$C$42,SMALL(IF("Página Web"='03.Muestra'!$D$8:$D$42,ROW('03.Muestra'!$C$8:$C$42)-MIN(ROW('03.Muestra'!$D$8:$D$42))+1,""),ROW()-1234)),"")</f>
        <v>Home - PortCastelló</v>
      </c>
      <c r="C1239" s="114" t="str" cm="1">
        <f t="array" ref="C1239">IFERROR(INDEX('03.Muestra'!$F$8:$F$42,SMALL(IF("Página Web"='03.Muestra'!$D$8:$D$42,ROW('03.Muestra'!$F$8:$F$42)-MIN(ROW('03.Muestra'!$D$8:$D$42))+1,""),ROW()-1234)),"")</f>
        <v>https://www.portcastello.com/</v>
      </c>
      <c r="D1239" s="130" t="str">
        <f t="shared" si="65"/>
        <v>N/T</v>
      </c>
      <c r="E1239" s="107" t="str">
        <f t="shared" si="64"/>
        <v/>
      </c>
      <c r="G1239" s="19"/>
      <c r="H1239" s="19"/>
      <c r="I1239" s="19"/>
      <c r="J1239" s="19"/>
      <c r="K1239" s="233"/>
      <c r="L1239" s="19"/>
    </row>
    <row r="1240" spans="1:12" ht="12" customHeight="1">
      <c r="A1240" s="219" t="n" cm="1">
        <f t="array" ref="A1240">IFERROR(INDEX('03.Muestra'!$B$8:$B$42,SMALL(IF("Página Web"='03.Muestra'!$D$8:$D$42,ROW('03.Muestra'!$B$8:$B$42)-MIN(ROW('03.Muestra'!$D$8:$D$42))+1,""),ROW()-1234)),"")</f>
        <v>1.0</v>
      </c>
      <c r="B1240" s="114" t="str" cm="1">
        <f t="array" ref="B1240">IFERROR(INDEX('03.Muestra'!$C$8:$C$42,SMALL(IF("Página Web"='03.Muestra'!$D$8:$D$42,ROW('03.Muestra'!$C$8:$C$42)-MIN(ROW('03.Muestra'!$D$8:$D$42))+1,""),ROW()-1234)),"")</f>
        <v>Home - PortCastelló</v>
      </c>
      <c r="C1240" s="114" t="str" cm="1">
        <f t="array" ref="C1240">IFERROR(INDEX('03.Muestra'!$F$8:$F$42,SMALL(IF("Página Web"='03.Muestra'!$D$8:$D$42,ROW('03.Muestra'!$F$8:$F$42)-MIN(ROW('03.Muestra'!$D$8:$D$42))+1,""),ROW()-1234)),"")</f>
        <v>https://www.portcastello.com/</v>
      </c>
      <c r="D1240" s="130" t="str">
        <f t="shared" si="65"/>
        <v>N/T</v>
      </c>
      <c r="E1240" s="107" t="str">
        <f t="shared" si="64"/>
        <v/>
      </c>
      <c r="G1240" s="19"/>
      <c r="H1240" s="19"/>
      <c r="I1240" s="19"/>
      <c r="J1240" s="19"/>
      <c r="K1240" s="233"/>
      <c r="L1240" s="19"/>
    </row>
    <row r="1241" spans="1:12" ht="12" customHeight="1">
      <c r="A1241" s="219" t="n" cm="1">
        <f t="array" ref="A1241">IFERROR(INDEX('03.Muestra'!$B$8:$B$42,SMALL(IF("Página Web"='03.Muestra'!$D$8:$D$42,ROW('03.Muestra'!$B$8:$B$42)-MIN(ROW('03.Muestra'!$D$8:$D$42))+1,""),ROW()-1234)),"")</f>
        <v>1.0</v>
      </c>
      <c r="B1241" s="114" t="str" cm="1">
        <f t="array" ref="B1241">IFERROR(INDEX('03.Muestra'!$C$8:$C$42,SMALL(IF("Página Web"='03.Muestra'!$D$8:$D$42,ROW('03.Muestra'!$C$8:$C$42)-MIN(ROW('03.Muestra'!$D$8:$D$42))+1,""),ROW()-1234)),"")</f>
        <v>Home - PortCastelló</v>
      </c>
      <c r="C1241" s="114" t="str" cm="1">
        <f t="array" ref="C1241">IFERROR(INDEX('03.Muestra'!$F$8:$F$42,SMALL(IF("Página Web"='03.Muestra'!$D$8:$D$42,ROW('03.Muestra'!$F$8:$F$42)-MIN(ROW('03.Muestra'!$D$8:$D$42))+1,""),ROW()-1234)),"")</f>
        <v>https://www.portcastello.com/</v>
      </c>
      <c r="D1241" s="130" t="str">
        <f t="shared" si="65"/>
        <v>N/T</v>
      </c>
      <c r="E1241" s="107" t="str">
        <f t="shared" si="64"/>
        <v/>
      </c>
      <c r="F1241" s="19"/>
      <c r="G1241" s="19"/>
      <c r="H1241" s="19"/>
      <c r="I1241" s="19"/>
      <c r="J1241" s="19"/>
      <c r="K1241" s="233"/>
      <c r="L1241" s="19"/>
    </row>
    <row r="1242" spans="1:12" ht="12" customHeight="1">
      <c r="A1242" s="219" t="n" cm="1">
        <f t="array" ref="A1242">IFERROR(INDEX('03.Muestra'!$B$8:$B$42,SMALL(IF("Página Web"='03.Muestra'!$D$8:$D$42,ROW('03.Muestra'!$B$8:$B$42)-MIN(ROW('03.Muestra'!$D$8:$D$42))+1,""),ROW()-1234)),"")</f>
        <v>1.0</v>
      </c>
      <c r="B1242" s="114" t="str" cm="1">
        <f t="array" ref="B1242">IFERROR(INDEX('03.Muestra'!$C$8:$C$42,SMALL(IF("Página Web"='03.Muestra'!$D$8:$D$42,ROW('03.Muestra'!$C$8:$C$42)-MIN(ROW('03.Muestra'!$D$8:$D$42))+1,""),ROW()-1234)),"")</f>
        <v>Home - PortCastelló</v>
      </c>
      <c r="C1242" s="114" t="str" cm="1">
        <f t="array" ref="C1242">IFERROR(INDEX('03.Muestra'!$F$8:$F$42,SMALL(IF("Página Web"='03.Muestra'!$D$8:$D$42,ROW('03.Muestra'!$F$8:$F$42)-MIN(ROW('03.Muestra'!$D$8:$D$42))+1,""),ROW()-1234)),"")</f>
        <v>https://www.portcastello.com/</v>
      </c>
      <c r="D1242" s="130" t="str">
        <f t="shared" si="65"/>
        <v>N/T</v>
      </c>
      <c r="E1242" s="107" t="str">
        <f t="shared" si="64"/>
        <v/>
      </c>
      <c r="F1242" s="19"/>
      <c r="G1242" s="19"/>
      <c r="H1242" s="19"/>
      <c r="I1242" s="19"/>
      <c r="J1242" s="19"/>
      <c r="K1242" s="233"/>
      <c r="L1242" s="19"/>
    </row>
    <row r="1243" spans="1:12" ht="12" customHeight="1">
      <c r="A1243" s="219" t="n" cm="1">
        <f t="array" ref="A1243">IFERROR(INDEX('03.Muestra'!$B$8:$B$42,SMALL(IF("Página Web"='03.Muestra'!$D$8:$D$42,ROW('03.Muestra'!$B$8:$B$42)-MIN(ROW('03.Muestra'!$D$8:$D$42))+1,""),ROW()-1234)),"")</f>
        <v>1.0</v>
      </c>
      <c r="B1243" s="114" t="str" cm="1">
        <f t="array" ref="B1243">IFERROR(INDEX('03.Muestra'!$C$8:$C$42,SMALL(IF("Página Web"='03.Muestra'!$D$8:$D$42,ROW('03.Muestra'!$C$8:$C$42)-MIN(ROW('03.Muestra'!$D$8:$D$42))+1,""),ROW()-1234)),"")</f>
        <v>Home - PortCastelló</v>
      </c>
      <c r="C1243" s="114" t="str" cm="1">
        <f t="array" ref="C1243">IFERROR(INDEX('03.Muestra'!$F$8:$F$42,SMALL(IF("Página Web"='03.Muestra'!$D$8:$D$42,ROW('03.Muestra'!$F$8:$F$42)-MIN(ROW('03.Muestra'!$D$8:$D$42))+1,""),ROW()-1234)),"")</f>
        <v>https://www.portcastello.com/</v>
      </c>
      <c r="D1243" s="130" t="str">
        <f t="shared" si="65"/>
        <v>N/T</v>
      </c>
      <c r="E1243" s="107" t="str">
        <f t="shared" si="64"/>
        <v/>
      </c>
      <c r="F1243" s="19"/>
      <c r="G1243" s="19"/>
      <c r="H1243" s="19"/>
      <c r="I1243" s="19"/>
      <c r="J1243" s="19"/>
      <c r="K1243" s="233"/>
      <c r="L1243" s="19"/>
    </row>
    <row r="1244" spans="1:12" ht="12" customHeight="1">
      <c r="A1244" s="219" t="n"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Home - PortCastelló</v>
      </c>
      <c r="C1244" s="114" t="str" cm="1">
        <f t="array" ref="C1244">IFERROR(INDEX('03.Muestra'!$F$8:$F$42,SMALL(IF("Página Web"='03.Muestra'!$D$8:$D$42,ROW('03.Muestra'!$F$8:$F$42)-MIN(ROW('03.Muestra'!$D$8:$D$42))+1,""),ROW()-1234)),"")</f>
        <v>https://www.portcastello.com/</v>
      </c>
      <c r="D1244" s="130" t="str">
        <f t="shared" si="65"/>
        <v>N/T</v>
      </c>
      <c r="E1244" s="107" t="str">
        <f t="shared" si="64"/>
        <v/>
      </c>
      <c r="F1244" s="19"/>
      <c r="G1244" s="19"/>
      <c r="H1244" s="19"/>
      <c r="I1244" s="19"/>
      <c r="J1244" s="19"/>
      <c r="K1244" s="233"/>
      <c r="L1244" s="19"/>
    </row>
    <row r="1245" spans="1:12" ht="12" customHeight="1">
      <c r="A1245" s="219" t="n" cm="1">
        <f t="array" ref="A1245">IFERROR(INDEX('03.Muestra'!$B$8:$B$42,SMALL(IF("Página Web"='03.Muestra'!$D$8:$D$42,ROW('03.Muestra'!$B$8:$B$42)-MIN(ROW('03.Muestra'!$D$8:$D$42))+1,""),ROW()-1234)),"")</f>
        <v>1.0</v>
      </c>
      <c r="B1245" s="114" t="str" cm="1">
        <f t="array" ref="B1245">IFERROR(INDEX('03.Muestra'!$C$8:$C$42,SMALL(IF("Página Web"='03.Muestra'!$D$8:$D$42,ROW('03.Muestra'!$C$8:$C$42)-MIN(ROW('03.Muestra'!$D$8:$D$42))+1,""),ROW()-1234)),"")</f>
        <v>Home - PortCastelló</v>
      </c>
      <c r="C1245" s="114" t="str" cm="1">
        <f t="array" ref="C1245">IFERROR(INDEX('03.Muestra'!$F$8:$F$42,SMALL(IF("Página Web"='03.Muestra'!$D$8:$D$42,ROW('03.Muestra'!$F$8:$F$42)-MIN(ROW('03.Muestra'!$D$8:$D$42))+1,""),ROW()-1234)),"")</f>
        <v>https://www.portcastello.com/</v>
      </c>
      <c r="D1245" s="130" t="str">
        <f t="shared" si="65"/>
        <v>N/T</v>
      </c>
      <c r="E1245" s="107" t="str">
        <f t="shared" si="64"/>
        <v/>
      </c>
      <c r="F1245" s="19"/>
      <c r="G1245" s="19"/>
      <c r="H1245" s="19"/>
      <c r="I1245" s="19"/>
      <c r="J1245" s="19"/>
      <c r="K1245" s="233"/>
      <c r="L1245" s="19"/>
    </row>
    <row r="1246" spans="1:12" ht="12" customHeight="1">
      <c r="A1246" s="219" t="n" cm="1">
        <f t="array" ref="A1246">IFERROR(INDEX('03.Muestra'!$B$8:$B$42,SMALL(IF("Página Web"='03.Muestra'!$D$8:$D$42,ROW('03.Muestra'!$B$8:$B$42)-MIN(ROW('03.Muestra'!$D$8:$D$42))+1,""),ROW()-1234)),"")</f>
        <v>1.0</v>
      </c>
      <c r="B1246" s="114" t="str" cm="1">
        <f t="array" ref="B1246">IFERROR(INDEX('03.Muestra'!$C$8:$C$42,SMALL(IF("Página Web"='03.Muestra'!$D$8:$D$42,ROW('03.Muestra'!$C$8:$C$42)-MIN(ROW('03.Muestra'!$D$8:$D$42))+1,""),ROW()-1234)),"")</f>
        <v>Home - PortCastelló</v>
      </c>
      <c r="C1246" s="114" t="str" cm="1">
        <f t="array" ref="C1246">IFERROR(INDEX('03.Muestra'!$F$8:$F$42,SMALL(IF("Página Web"='03.Muestra'!$D$8:$D$42,ROW('03.Muestra'!$F$8:$F$42)-MIN(ROW('03.Muestra'!$D$8:$D$42))+1,""),ROW()-1234)),"")</f>
        <v>https://www.portcastello.com/</v>
      </c>
      <c r="D1246" s="130" t="str">
        <f t="shared" si="65"/>
        <v>N/T</v>
      </c>
      <c r="E1246" s="107" t="str">
        <f t="shared" si="64"/>
        <v/>
      </c>
      <c r="F1246" s="19"/>
      <c r="G1246" s="19"/>
      <c r="H1246" s="19"/>
      <c r="I1246" s="19"/>
      <c r="J1246" s="19"/>
      <c r="K1246" s="233"/>
      <c r="L1246" s="19"/>
    </row>
    <row r="1247" spans="1:12" ht="12" customHeight="1">
      <c r="A1247" s="219" t="n" cm="1">
        <f t="array" ref="A1247">IFERROR(INDEX('03.Muestra'!$B$8:$B$42,SMALL(IF("Página Web"='03.Muestra'!$D$8:$D$42,ROW('03.Muestra'!$B$8:$B$42)-MIN(ROW('03.Muestra'!$D$8:$D$42))+1,""),ROW()-1234)),"")</f>
        <v>1.0</v>
      </c>
      <c r="B1247" s="114" t="str" cm="1">
        <f t="array" ref="B1247">IFERROR(INDEX('03.Muestra'!$C$8:$C$42,SMALL(IF("Página Web"='03.Muestra'!$D$8:$D$42,ROW('03.Muestra'!$C$8:$C$42)-MIN(ROW('03.Muestra'!$D$8:$D$42))+1,""),ROW()-1234)),"")</f>
        <v>Home - PortCastelló</v>
      </c>
      <c r="C1247" s="114" t="str" cm="1">
        <f t="array" ref="C1247">IFERROR(INDEX('03.Muestra'!$F$8:$F$42,SMALL(IF("Página Web"='03.Muestra'!$D$8:$D$42,ROW('03.Muestra'!$F$8:$F$42)-MIN(ROW('03.Muestra'!$D$8:$D$42))+1,""),ROW()-1234)),"")</f>
        <v>https://www.portcastello.com/</v>
      </c>
      <c r="D1247" s="130" t="str">
        <f t="shared" si="65"/>
        <v>N/T</v>
      </c>
      <c r="E1247" s="107" t="str">
        <f t="shared" si="64"/>
        <v/>
      </c>
      <c r="F1247" s="19"/>
      <c r="G1247" s="19"/>
      <c r="H1247" s="19"/>
      <c r="I1247" s="19"/>
      <c r="J1247" s="19"/>
      <c r="K1247" s="233"/>
      <c r="L1247" s="19"/>
    </row>
    <row r="1248" spans="1:12" ht="12" customHeight="1">
      <c r="A1248" s="219" t="n" cm="1">
        <f t="array" ref="A1248">IFERROR(INDEX('03.Muestra'!$B$8:$B$42,SMALL(IF("Página Web"='03.Muestra'!$D$8:$D$42,ROW('03.Muestra'!$B$8:$B$42)-MIN(ROW('03.Muestra'!$D$8:$D$42))+1,""),ROW()-1234)),"")</f>
        <v>1.0</v>
      </c>
      <c r="B1248" s="114" t="str" cm="1">
        <f t="array" ref="B1248">IFERROR(INDEX('03.Muestra'!$C$8:$C$42,SMALL(IF("Página Web"='03.Muestra'!$D$8:$D$42,ROW('03.Muestra'!$C$8:$C$42)-MIN(ROW('03.Muestra'!$D$8:$D$42))+1,""),ROW()-1234)),"")</f>
        <v>Home - PortCastelló</v>
      </c>
      <c r="C1248" s="114" t="str" cm="1">
        <f t="array" ref="C1248">IFERROR(INDEX('03.Muestra'!$F$8:$F$42,SMALL(IF("Página Web"='03.Muestra'!$D$8:$D$42,ROW('03.Muestra'!$F$8:$F$42)-MIN(ROW('03.Muestra'!$D$8:$D$42))+1,""),ROW()-1234)),"")</f>
        <v>https://www.portcastello.com/</v>
      </c>
      <c r="D1248" s="130" t="str">
        <f t="shared" si="65"/>
        <v>N/T</v>
      </c>
      <c r="E1248" s="107" t="str">
        <f t="shared" si="64"/>
        <v/>
      </c>
      <c r="F1248" s="19"/>
      <c r="G1248" s="19"/>
      <c r="H1248" s="19"/>
      <c r="I1248" s="19"/>
      <c r="J1248" s="19"/>
      <c r="K1248" s="233"/>
      <c r="L1248" s="19"/>
    </row>
    <row r="1249" spans="1:12" ht="12" customHeight="1">
      <c r="A1249" s="219" t="n" cm="1">
        <f t="array" ref="A1249">IFERROR(INDEX('03.Muestra'!$B$8:$B$42,SMALL(IF("Página Web"='03.Muestra'!$D$8:$D$42,ROW('03.Muestra'!$B$8:$B$42)-MIN(ROW('03.Muestra'!$D$8:$D$42))+1,""),ROW()-1234)),"")</f>
        <v>1.0</v>
      </c>
      <c r="B1249" s="114" t="str" cm="1">
        <f t="array" ref="B1249">IFERROR(INDEX('03.Muestra'!$C$8:$C$42,SMALL(IF("Página Web"='03.Muestra'!$D$8:$D$42,ROW('03.Muestra'!$C$8:$C$42)-MIN(ROW('03.Muestra'!$D$8:$D$42))+1,""),ROW()-1234)),"")</f>
        <v>Home - PortCastelló</v>
      </c>
      <c r="C1249" s="114" t="str" cm="1">
        <f t="array" ref="C1249">IFERROR(INDEX('03.Muestra'!$F$8:$F$42,SMALL(IF("Página Web"='03.Muestra'!$D$8:$D$42,ROW('03.Muestra'!$F$8:$F$42)-MIN(ROW('03.Muestra'!$D$8:$D$42))+1,""),ROW()-1234)),"")</f>
        <v>https://www.portcastello.com/</v>
      </c>
      <c r="D1249" s="130" t="str">
        <f t="shared" si="65"/>
        <v>N/T</v>
      </c>
      <c r="E1249" s="107" t="str">
        <f t="shared" si="64"/>
        <v/>
      </c>
      <c r="F1249" s="19"/>
      <c r="G1249" s="19"/>
      <c r="H1249" s="19"/>
      <c r="I1249" s="19"/>
      <c r="J1249" s="19"/>
      <c r="K1249" s="233"/>
      <c r="L1249" s="19"/>
    </row>
    <row r="1250" spans="1:12" ht="12" customHeight="1">
      <c r="A1250" s="219" t="n" cm="1">
        <f t="array" ref="A1250">IFERROR(INDEX('03.Muestra'!$B$8:$B$42,SMALL(IF("Página Web"='03.Muestra'!$D$8:$D$42,ROW('03.Muestra'!$B$8:$B$42)-MIN(ROW('03.Muestra'!$D$8:$D$42))+1,""),ROW()-1234)),"")</f>
        <v>1.0</v>
      </c>
      <c r="B1250" s="114" t="str" cm="1">
        <f t="array" ref="B1250">IFERROR(INDEX('03.Muestra'!$C$8:$C$42,SMALL(IF("Página Web"='03.Muestra'!$D$8:$D$42,ROW('03.Muestra'!$C$8:$C$42)-MIN(ROW('03.Muestra'!$D$8:$D$42))+1,""),ROW()-1234)),"")</f>
        <v>Home - PortCastelló</v>
      </c>
      <c r="C1250" s="114" t="str" cm="1">
        <f t="array" ref="C1250">IFERROR(INDEX('03.Muestra'!$F$8:$F$42,SMALL(IF("Página Web"='03.Muestra'!$D$8:$D$42,ROW('03.Muestra'!$F$8:$F$42)-MIN(ROW('03.Muestra'!$D$8:$D$42))+1,""),ROW()-1234)),"")</f>
        <v>https://www.portcastello.com/</v>
      </c>
      <c r="D1250" s="130" t="str">
        <f t="shared" si="65"/>
        <v>N/T</v>
      </c>
      <c r="E1250" s="107" t="str">
        <f t="shared" si="64"/>
        <v/>
      </c>
      <c r="F1250" s="19"/>
      <c r="G1250" s="19"/>
      <c r="H1250" s="19"/>
      <c r="I1250" s="19"/>
      <c r="J1250" s="19"/>
      <c r="K1250" s="233"/>
      <c r="L1250" s="19"/>
    </row>
    <row r="1251" spans="1:12" ht="12" customHeight="1">
      <c r="A1251" s="219" t="n" cm="1">
        <f t="array" ref="A1251">IFERROR(INDEX('03.Muestra'!$B$8:$B$42,SMALL(IF("Página Web"='03.Muestra'!$D$8:$D$42,ROW('03.Muestra'!$B$8:$B$42)-MIN(ROW('03.Muestra'!$D$8:$D$42))+1,""),ROW()-1234)),"")</f>
        <v>1.0</v>
      </c>
      <c r="B1251" s="114" t="str" cm="1">
        <f t="array" ref="B1251">IFERROR(INDEX('03.Muestra'!$C$8:$C$42,SMALL(IF("Página Web"='03.Muestra'!$D$8:$D$42,ROW('03.Muestra'!$C$8:$C$42)-MIN(ROW('03.Muestra'!$D$8:$D$42))+1,""),ROW()-1234)),"")</f>
        <v>Home - PortCastelló</v>
      </c>
      <c r="C1251" s="114" t="str" cm="1">
        <f t="array" ref="C1251">IFERROR(INDEX('03.Muestra'!$F$8:$F$42,SMALL(IF("Página Web"='03.Muestra'!$D$8:$D$42,ROW('03.Muestra'!$F$8:$F$42)-MIN(ROW('03.Muestra'!$D$8:$D$42))+1,""),ROW()-1234)),"")</f>
        <v>https://www.portcastello.com/</v>
      </c>
      <c r="D1251" s="130" t="str">
        <f t="shared" si="65"/>
        <v>N/T</v>
      </c>
      <c r="E1251" s="107" t="str">
        <f t="shared" si="64"/>
        <v/>
      </c>
      <c r="F1251" s="19"/>
      <c r="G1251" s="19"/>
      <c r="H1251" s="19"/>
      <c r="I1251" s="19"/>
      <c r="J1251" s="19"/>
      <c r="K1251" s="233"/>
      <c r="L1251" s="19"/>
    </row>
    <row r="1252" spans="1:12" ht="12" customHeight="1">
      <c r="A1252" s="219" t="n" cm="1">
        <f t="array" ref="A1252">IFERROR(INDEX('03.Muestra'!$B$8:$B$42,SMALL(IF("Página Web"='03.Muestra'!$D$8:$D$42,ROW('03.Muestra'!$B$8:$B$42)-MIN(ROW('03.Muestra'!$D$8:$D$42))+1,""),ROW()-1234)),"")</f>
        <v>1.0</v>
      </c>
      <c r="B1252" s="114" t="str" cm="1">
        <f t="array" ref="B1252">IFERROR(INDEX('03.Muestra'!$C$8:$C$42,SMALL(IF("Página Web"='03.Muestra'!$D$8:$D$42,ROW('03.Muestra'!$C$8:$C$42)-MIN(ROW('03.Muestra'!$D$8:$D$42))+1,""),ROW()-1234)),"")</f>
        <v>Home - PortCastelló</v>
      </c>
      <c r="C1252" s="114" t="str" cm="1">
        <f t="array" ref="C1252">IFERROR(INDEX('03.Muestra'!$F$8:$F$42,SMALL(IF("Página Web"='03.Muestra'!$D$8:$D$42,ROW('03.Muestra'!$F$8:$F$42)-MIN(ROW('03.Muestra'!$D$8:$D$42))+1,""),ROW()-1234)),"")</f>
        <v>https://www.portcastello.com/</v>
      </c>
      <c r="D1252" s="130" t="str">
        <f t="shared" si="65"/>
        <v>N/T</v>
      </c>
      <c r="E1252" s="107" t="str">
        <f t="shared" si="64"/>
        <v/>
      </c>
      <c r="F1252" s="19"/>
      <c r="G1252" s="19"/>
      <c r="H1252" s="19"/>
      <c r="I1252" s="19"/>
      <c r="J1252" s="19"/>
      <c r="K1252" s="233"/>
      <c r="L1252" s="19"/>
    </row>
    <row r="1253" spans="1:12" ht="12" customHeight="1">
      <c r="A1253" s="219" t="n" cm="1">
        <f t="array" ref="A1253">IFERROR(INDEX('03.Muestra'!$B$8:$B$42,SMALL(IF("Página Web"='03.Muestra'!$D$8:$D$42,ROW('03.Muestra'!$B$8:$B$42)-MIN(ROW('03.Muestra'!$D$8:$D$42))+1,""),ROW()-1234)),"")</f>
        <v>1.0</v>
      </c>
      <c r="B1253" s="114" t="str" cm="1">
        <f t="array" ref="B1253">IFERROR(INDEX('03.Muestra'!$C$8:$C$42,SMALL(IF("Página Web"='03.Muestra'!$D$8:$D$42,ROW('03.Muestra'!$C$8:$C$42)-MIN(ROW('03.Muestra'!$D$8:$D$42))+1,""),ROW()-1234)),"")</f>
        <v>Home - PortCastelló</v>
      </c>
      <c r="C1253" s="114" t="str" cm="1">
        <f t="array" ref="C1253">IFERROR(INDEX('03.Muestra'!$F$8:$F$42,SMALL(IF("Página Web"='03.Muestra'!$D$8:$D$42,ROW('03.Muestra'!$F$8:$F$42)-MIN(ROW('03.Muestra'!$D$8:$D$42))+1,""),ROW()-1234)),"")</f>
        <v>https://www.portcastello.com/</v>
      </c>
      <c r="D1253" s="130" t="str">
        <f t="shared" si="65"/>
        <v>N/T</v>
      </c>
      <c r="E1253" s="107" t="str">
        <f t="shared" si="64"/>
        <v/>
      </c>
      <c r="F1253" s="19"/>
      <c r="G1253" s="19"/>
      <c r="H1253" s="19"/>
      <c r="I1253" s="19"/>
      <c r="J1253" s="19"/>
      <c r="K1253" s="233"/>
      <c r="L1253" s="19"/>
    </row>
    <row r="1254" spans="1:12" ht="12" customHeight="1">
      <c r="A1254" s="219" t="n" cm="1">
        <f t="array" ref="A1254">IFERROR(INDEX('03.Muestra'!$B$8:$B$42,SMALL(IF("Página Web"='03.Muestra'!$D$8:$D$42,ROW('03.Muestra'!$B$8:$B$42)-MIN(ROW('03.Muestra'!$D$8:$D$42))+1,""),ROW()-1234)),"")</f>
        <v>1.0</v>
      </c>
      <c r="B1254" s="114" t="str" cm="1">
        <f t="array" ref="B1254">IFERROR(INDEX('03.Muestra'!$C$8:$C$42,SMALL(IF("Página Web"='03.Muestra'!$D$8:$D$42,ROW('03.Muestra'!$C$8:$C$42)-MIN(ROW('03.Muestra'!$D$8:$D$42))+1,""),ROW()-1234)),"")</f>
        <v>Home - PortCastelló</v>
      </c>
      <c r="C1254" s="114" t="str" cm="1">
        <f t="array" ref="C1254">IFERROR(INDEX('03.Muestra'!$F$8:$F$42,SMALL(IF("Página Web"='03.Muestra'!$D$8:$D$42,ROW('03.Muestra'!$F$8:$F$42)-MIN(ROW('03.Muestra'!$D$8:$D$42))+1,""),ROW()-1234)),"")</f>
        <v>https://www.portcastello.com/</v>
      </c>
      <c r="D1254" s="130" t="str">
        <f t="shared" si="65"/>
        <v>N/T</v>
      </c>
      <c r="E1254" s="107" t="str">
        <f t="shared" si="64"/>
        <v/>
      </c>
      <c r="F1254" s="19"/>
      <c r="G1254" s="19"/>
      <c r="H1254" s="19"/>
      <c r="I1254" s="19"/>
      <c r="J1254" s="19"/>
      <c r="K1254" s="233"/>
      <c r="L1254" s="19"/>
    </row>
    <row r="1255" spans="1:12" ht="12" customHeight="1">
      <c r="A1255" s="219" t="n" cm="1">
        <f t="array" ref="A1255">IFERROR(INDEX('03.Muestra'!$B$8:$B$42,SMALL(IF("Página Web"='03.Muestra'!$D$8:$D$42,ROW('03.Muestra'!$B$8:$B$42)-MIN(ROW('03.Muestra'!$D$8:$D$42))+1,""),ROW()-1234)),"")</f>
        <v>1.0</v>
      </c>
      <c r="B1255" s="114" t="str" cm="1">
        <f t="array" ref="B1255">IFERROR(INDEX('03.Muestra'!$C$8:$C$42,SMALL(IF("Página Web"='03.Muestra'!$D$8:$D$42,ROW('03.Muestra'!$C$8:$C$42)-MIN(ROW('03.Muestra'!$D$8:$D$42))+1,""),ROW()-1234)),"")</f>
        <v>Home - PortCastelló</v>
      </c>
      <c r="C1255" s="114" t="str" cm="1">
        <f t="array" ref="C1255">IFERROR(INDEX('03.Muestra'!$F$8:$F$42,SMALL(IF("Página Web"='03.Muestra'!$D$8:$D$42,ROW('03.Muestra'!$F$8:$F$42)-MIN(ROW('03.Muestra'!$D$8:$D$42))+1,""),ROW()-1234)),"")</f>
        <v>https://www.portcastello.com/</v>
      </c>
      <c r="D1255" s="130" t="str">
        <f t="shared" si="65"/>
        <v>N/T</v>
      </c>
      <c r="E1255" s="107" t="str">
        <f t="shared" si="64"/>
        <v/>
      </c>
      <c r="F1255" s="19"/>
      <c r="G1255" s="19"/>
      <c r="H1255" s="19"/>
      <c r="I1255" s="19"/>
      <c r="J1255" s="19"/>
      <c r="K1255" s="233"/>
      <c r="L1255" s="19"/>
    </row>
    <row r="1256" spans="1:12" ht="12" customHeight="1">
      <c r="A1256" s="219" t="n" cm="1">
        <f t="array" ref="A1256">IFERROR(INDEX('03.Muestra'!$B$8:$B$42,SMALL(IF("Página Web"='03.Muestra'!$D$8:$D$42,ROW('03.Muestra'!$B$8:$B$42)-MIN(ROW('03.Muestra'!$D$8:$D$42))+1,""),ROW()-1234)),"")</f>
        <v>1.0</v>
      </c>
      <c r="B1256" s="114" t="str" cm="1">
        <f t="array" ref="B1256">IFERROR(INDEX('03.Muestra'!$C$8:$C$42,SMALL(IF("Página Web"='03.Muestra'!$D$8:$D$42,ROW('03.Muestra'!$C$8:$C$42)-MIN(ROW('03.Muestra'!$D$8:$D$42))+1,""),ROW()-1234)),"")</f>
        <v>Home - PortCastelló</v>
      </c>
      <c r="C1256" s="114" t="str" cm="1">
        <f t="array" ref="C1256">IFERROR(INDEX('03.Muestra'!$F$8:$F$42,SMALL(IF("Página Web"='03.Muestra'!$D$8:$D$42,ROW('03.Muestra'!$F$8:$F$42)-MIN(ROW('03.Muestra'!$D$8:$D$42))+1,""),ROW()-1234)),"")</f>
        <v>https://www.portcastello.com/</v>
      </c>
      <c r="D1256" s="130" t="str">
        <f t="shared" si="65"/>
        <v>N/T</v>
      </c>
      <c r="E1256" s="107" t="str">
        <f t="shared" si="64"/>
        <v/>
      </c>
      <c r="F1256" s="19"/>
      <c r="G1256" s="19"/>
      <c r="H1256" s="19"/>
      <c r="I1256" s="19"/>
      <c r="J1256" s="19"/>
      <c r="K1256" s="233"/>
      <c r="L1256" s="19"/>
    </row>
    <row r="1257" spans="1:12" ht="12" customHeight="1">
      <c r="A1257" s="219" t="n" cm="1">
        <f t="array" ref="A1257">IFERROR(INDEX('03.Muestra'!$B$8:$B$42,SMALL(IF("Página Web"='03.Muestra'!$D$8:$D$42,ROW('03.Muestra'!$B$8:$B$42)-MIN(ROW('03.Muestra'!$D$8:$D$42))+1,""),ROW()-1234)),"")</f>
        <v>1.0</v>
      </c>
      <c r="B1257" s="114" t="str" cm="1">
        <f t="array" ref="B1257">IFERROR(INDEX('03.Muestra'!$C$8:$C$42,SMALL(IF("Página Web"='03.Muestra'!$D$8:$D$42,ROW('03.Muestra'!$C$8:$C$42)-MIN(ROW('03.Muestra'!$D$8:$D$42))+1,""),ROW()-1234)),"")</f>
        <v>Home - PortCastelló</v>
      </c>
      <c r="C1257" s="114" t="str" cm="1">
        <f t="array" ref="C1257">IFERROR(INDEX('03.Muestra'!$F$8:$F$42,SMALL(IF("Página Web"='03.Muestra'!$D$8:$D$42,ROW('03.Muestra'!$F$8:$F$42)-MIN(ROW('03.Muestra'!$D$8:$D$42))+1,""),ROW()-1234)),"")</f>
        <v>https://www.portcastello.com/</v>
      </c>
      <c r="D1257" s="130" t="str">
        <f t="shared" si="65"/>
        <v>N/T</v>
      </c>
      <c r="E1257" s="107" t="str">
        <f t="shared" si="64"/>
        <v/>
      </c>
      <c r="F1257" s="19"/>
      <c r="G1257" s="19"/>
      <c r="H1257" s="19"/>
      <c r="I1257" s="19"/>
      <c r="J1257" s="19"/>
      <c r="K1257" s="233"/>
      <c r="L1257" s="19"/>
    </row>
    <row r="1258" spans="1:12" ht="12" customHeight="1">
      <c r="A1258" s="219" t="n" cm="1">
        <f t="array" ref="A1258">IFERROR(INDEX('03.Muestra'!$B$8:$B$42,SMALL(IF("Página Web"='03.Muestra'!$D$8:$D$42,ROW('03.Muestra'!$B$8:$B$42)-MIN(ROW('03.Muestra'!$D$8:$D$42))+1,""),ROW()-1234)),"")</f>
        <v>1.0</v>
      </c>
      <c r="B1258" s="114" t="str" cm="1">
        <f t="array" ref="B1258">IFERROR(INDEX('03.Muestra'!$C$8:$C$42,SMALL(IF("Página Web"='03.Muestra'!$D$8:$D$42,ROW('03.Muestra'!$C$8:$C$42)-MIN(ROW('03.Muestra'!$D$8:$D$42))+1,""),ROW()-1234)),"")</f>
        <v>Home - PortCastelló</v>
      </c>
      <c r="C1258" s="114" t="str" cm="1">
        <f t="array" ref="C1258">IFERROR(INDEX('03.Muestra'!$F$8:$F$42,SMALL(IF("Página Web"='03.Muestra'!$D$8:$D$42,ROW('03.Muestra'!$F$8:$F$42)-MIN(ROW('03.Muestra'!$D$8:$D$42))+1,""),ROW()-1234)),"")</f>
        <v>https://www.portcastello.com/</v>
      </c>
      <c r="D1258" s="130" t="str">
        <f t="shared" si="65"/>
        <v>N/T</v>
      </c>
      <c r="E1258" s="107" t="str">
        <f t="shared" si="64"/>
        <v/>
      </c>
      <c r="F1258" s="19"/>
      <c r="G1258" s="19"/>
      <c r="H1258" s="19"/>
      <c r="I1258" s="19"/>
      <c r="J1258" s="19"/>
      <c r="K1258" s="233"/>
      <c r="L1258" s="19"/>
    </row>
    <row r="1259" spans="1:12" ht="12" customHeight="1">
      <c r="A1259" s="219" t="n" cm="1">
        <f t="array" ref="A1259">IFERROR(INDEX('03.Muestra'!$B$8:$B$42,SMALL(IF("Página Web"='03.Muestra'!$D$8:$D$42,ROW('03.Muestra'!$B$8:$B$42)-MIN(ROW('03.Muestra'!$D$8:$D$42))+1,""),ROW()-1234)),"")</f>
        <v>1.0</v>
      </c>
      <c r="B1259" s="114" t="str" cm="1">
        <f t="array" ref="B1259">IFERROR(INDEX('03.Muestra'!$C$8:$C$42,SMALL(IF("Página Web"='03.Muestra'!$D$8:$D$42,ROW('03.Muestra'!$C$8:$C$42)-MIN(ROW('03.Muestra'!$D$8:$D$42))+1,""),ROW()-1234)),"")</f>
        <v>Home - PortCastelló</v>
      </c>
      <c r="C1259" s="114" t="str" cm="1">
        <f t="array" ref="C1259">IFERROR(INDEX('03.Muestra'!$F$8:$F$42,SMALL(IF("Página Web"='03.Muestra'!$D$8:$D$42,ROW('03.Muestra'!$F$8:$F$42)-MIN(ROW('03.Muestra'!$D$8:$D$42))+1,""),ROW()-1234)),"")</f>
        <v>https://www.portcastello.com/</v>
      </c>
      <c r="D1259" s="130" t="str">
        <f t="shared" si="65"/>
        <v>N/T</v>
      </c>
      <c r="E1259" s="107" t="str">
        <f t="shared" si="64"/>
        <v/>
      </c>
      <c r="F1259" s="19"/>
      <c r="G1259" s="19"/>
      <c r="H1259" s="19"/>
      <c r="I1259" s="19"/>
      <c r="J1259" s="19"/>
      <c r="K1259" s="233"/>
      <c r="L1259" s="19"/>
    </row>
    <row r="1260" spans="1:12" ht="12" customHeight="1">
      <c r="A1260" s="219" t="n" cm="1">
        <f t="array" ref="A1260">IFERROR(INDEX('03.Muestra'!$B$8:$B$42,SMALL(IF("Página Web"='03.Muestra'!$D$8:$D$42,ROW('03.Muestra'!$B$8:$B$42)-MIN(ROW('03.Muestra'!$D$8:$D$42))+1,""),ROW()-1234)),"")</f>
        <v>1.0</v>
      </c>
      <c r="B1260" s="114" t="str" cm="1">
        <f t="array" ref="B1260">IFERROR(INDEX('03.Muestra'!$C$8:$C$42,SMALL(IF("Página Web"='03.Muestra'!$D$8:$D$42,ROW('03.Muestra'!$C$8:$C$42)-MIN(ROW('03.Muestra'!$D$8:$D$42))+1,""),ROW()-1234)),"")</f>
        <v>Home - PortCastelló</v>
      </c>
      <c r="C1260" s="114" t="str" cm="1">
        <f t="array" ref="C1260">IFERROR(INDEX('03.Muestra'!$F$8:$F$42,SMALL(IF("Página Web"='03.Muestra'!$D$8:$D$42,ROW('03.Muestra'!$F$8:$F$42)-MIN(ROW('03.Muestra'!$D$8:$D$42))+1,""),ROW()-1234)),"")</f>
        <v>https://www.portcastello.com/</v>
      </c>
      <c r="D1260" s="130" t="str">
        <f t="shared" si="65"/>
        <v>N/T</v>
      </c>
      <c r="E1260" s="107" t="str">
        <f t="shared" si="64"/>
        <v/>
      </c>
      <c r="F1260" s="19"/>
      <c r="G1260" s="19"/>
      <c r="H1260" s="19"/>
      <c r="I1260" s="19"/>
      <c r="J1260" s="19"/>
      <c r="K1260" s="233"/>
      <c r="L1260" s="19"/>
    </row>
    <row r="1261" spans="1:12" ht="12" customHeight="1">
      <c r="A1261" s="219" t="n" cm="1">
        <f t="array" ref="A1261">IFERROR(INDEX('03.Muestra'!$B$8:$B$42,SMALL(IF("Página Web"='03.Muestra'!$D$8:$D$42,ROW('03.Muestra'!$B$8:$B$42)-MIN(ROW('03.Muestra'!$D$8:$D$42))+1,""),ROW()-1234)),"")</f>
        <v>1.0</v>
      </c>
      <c r="B1261" s="114" t="str" cm="1">
        <f t="array" ref="B1261">IFERROR(INDEX('03.Muestra'!$C$8:$C$42,SMALL(IF("Página Web"='03.Muestra'!$D$8:$D$42,ROW('03.Muestra'!$C$8:$C$42)-MIN(ROW('03.Muestra'!$D$8:$D$42))+1,""),ROW()-1234)),"")</f>
        <v>Home - PortCastelló</v>
      </c>
      <c r="C1261" s="114" t="str" cm="1">
        <f t="array" ref="C1261">IFERROR(INDEX('03.Muestra'!$F$8:$F$42,SMALL(IF("Página Web"='03.Muestra'!$D$8:$D$42,ROW('03.Muestra'!$F$8:$F$42)-MIN(ROW('03.Muestra'!$D$8:$D$42))+1,""),ROW()-1234)),"")</f>
        <v>https://www.portcastello.com/</v>
      </c>
      <c r="D1261" s="130" t="str">
        <f t="shared" si="65"/>
        <v>N/T</v>
      </c>
      <c r="E1261" s="107" t="str">
        <f t="shared" si="64"/>
        <v/>
      </c>
      <c r="F1261" s="19"/>
      <c r="G1261" s="19"/>
      <c r="H1261" s="19"/>
      <c r="I1261" s="19"/>
      <c r="J1261" s="19"/>
      <c r="K1261" s="233"/>
      <c r="L1261" s="19"/>
    </row>
    <row r="1262" spans="1:12" ht="12" customHeight="1">
      <c r="A1262" s="219" t="n" cm="1">
        <f t="array" ref="A1262">IFERROR(INDEX('03.Muestra'!$B$8:$B$42,SMALL(IF("Página Web"='03.Muestra'!$D$8:$D$42,ROW('03.Muestra'!$B$8:$B$42)-MIN(ROW('03.Muestra'!$D$8:$D$42))+1,""),ROW()-1234)),"")</f>
        <v>1.0</v>
      </c>
      <c r="B1262" s="114" t="str" cm="1">
        <f t="array" ref="B1262">IFERROR(INDEX('03.Muestra'!$C$8:$C$42,SMALL(IF("Página Web"='03.Muestra'!$D$8:$D$42,ROW('03.Muestra'!$C$8:$C$42)-MIN(ROW('03.Muestra'!$D$8:$D$42))+1,""),ROW()-1234)),"")</f>
        <v>Home - PortCastelló</v>
      </c>
      <c r="C1262" s="114" t="str" cm="1">
        <f t="array" ref="C1262">IFERROR(INDEX('03.Muestra'!$F$8:$F$42,SMALL(IF("Página Web"='03.Muestra'!$D$8:$D$42,ROW('03.Muestra'!$F$8:$F$42)-MIN(ROW('03.Muestra'!$D$8:$D$42))+1,""),ROW()-1234)),"")</f>
        <v>https://www.portcastello.com/</v>
      </c>
      <c r="D1262" s="130" t="str">
        <f t="shared" si="65"/>
        <v>N/T</v>
      </c>
      <c r="E1262" s="107" t="str">
        <f t="shared" si="64"/>
        <v/>
      </c>
      <c r="G1262" s="19"/>
      <c r="H1262" s="19"/>
      <c r="I1262" s="19"/>
      <c r="J1262" s="19"/>
      <c r="K1262" s="233"/>
      <c r="L1262" s="19"/>
    </row>
    <row r="1263" spans="1:12" ht="12" customHeight="1">
      <c r="A1263" s="219" t="n" cm="1">
        <f t="array" ref="A1263">IFERROR(INDEX('03.Muestra'!$B$8:$B$42,SMALL(IF("Página Web"='03.Muestra'!$D$8:$D$42,ROW('03.Muestra'!$B$8:$B$42)-MIN(ROW('03.Muestra'!$D$8:$D$42))+1,""),ROW()-1234)),"")</f>
        <v>1.0</v>
      </c>
      <c r="B1263" s="114" t="str" cm="1">
        <f t="array" ref="B1263">IFERROR(INDEX('03.Muestra'!$C$8:$C$42,SMALL(IF("Página Web"='03.Muestra'!$D$8:$D$42,ROW('03.Muestra'!$C$8:$C$42)-MIN(ROW('03.Muestra'!$D$8:$D$42))+1,""),ROW()-1234)),"")</f>
        <v>Home - PortCastelló</v>
      </c>
      <c r="C1263" s="114" t="str" cm="1">
        <f t="array" ref="C1263">IFERROR(INDEX('03.Muestra'!$F$8:$F$42,SMALL(IF("Página Web"='03.Muestra'!$D$8:$D$42,ROW('03.Muestra'!$F$8:$F$42)-MIN(ROW('03.Muestra'!$D$8:$D$42))+1,""),ROW()-1234)),"")</f>
        <v>https://www.portcastello.com/</v>
      </c>
      <c r="D1263" s="130" t="str">
        <f t="shared" si="65"/>
        <v>N/T</v>
      </c>
      <c r="E1263" s="107" t="str">
        <f t="shared" si="64"/>
        <v/>
      </c>
      <c r="F1263" s="124"/>
      <c r="G1263" s="19"/>
      <c r="H1263" s="19"/>
      <c r="I1263" s="19"/>
      <c r="J1263" s="19"/>
      <c r="K1263" s="233"/>
      <c r="L1263" s="19"/>
    </row>
    <row r="1264" spans="1:12" ht="12" customHeight="1">
      <c r="A1264" s="219" t="n" cm="1">
        <f t="array" ref="A1264">IFERROR(INDEX('03.Muestra'!$B$8:$B$42,SMALL(IF("Página Web"='03.Muestra'!$D$8:$D$42,ROW('03.Muestra'!$B$8:$B$42)-MIN(ROW('03.Muestra'!$D$8:$D$42))+1,""),ROW()-1234)),"")</f>
        <v>1.0</v>
      </c>
      <c r="B1264" s="114" t="str" cm="1">
        <f t="array" ref="B1264">IFERROR(INDEX('03.Muestra'!$C$8:$C$42,SMALL(IF("Página Web"='03.Muestra'!$D$8:$D$42,ROW('03.Muestra'!$C$8:$C$42)-MIN(ROW('03.Muestra'!$D$8:$D$42))+1,""),ROW()-1234)),"")</f>
        <v>Home - PortCastelló</v>
      </c>
      <c r="C1264" s="114" t="str" cm="1">
        <f t="array" ref="C1264">IFERROR(INDEX('03.Muestra'!$F$8:$F$42,SMALL(IF("Página Web"='03.Muestra'!$D$8:$D$42,ROW('03.Muestra'!$F$8:$F$42)-MIN(ROW('03.Muestra'!$D$8:$D$42))+1,""),ROW()-1234)),"")</f>
        <v>https://www.portcastello.com/</v>
      </c>
      <c r="D1264" s="130" t="str">
        <f t="shared" si="65"/>
        <v>N/T</v>
      </c>
      <c r="E1264" s="107" t="str">
        <f t="shared" si="64"/>
        <v/>
      </c>
      <c r="F1264" s="124"/>
      <c r="G1264" s="19"/>
      <c r="H1264" s="19"/>
      <c r="I1264" s="19"/>
      <c r="J1264" s="19"/>
      <c r="K1264" s="233"/>
      <c r="L1264" s="19"/>
    </row>
    <row r="1265" spans="1:12" ht="12" customHeight="1">
      <c r="A1265" s="219" t="n" cm="1">
        <f t="array" ref="A1265">IFERROR(INDEX('03.Muestra'!$B$8:$B$42,SMALL(IF("Página Web"='03.Muestra'!$D$8:$D$42,ROW('03.Muestra'!$B$8:$B$42)-MIN(ROW('03.Muestra'!$D$8:$D$42))+1,""),ROW()-1234)),"")</f>
        <v>1.0</v>
      </c>
      <c r="B1265" s="114" t="str" cm="1">
        <f t="array" ref="B1265">IFERROR(INDEX('03.Muestra'!$C$8:$C$42,SMALL(IF("Página Web"='03.Muestra'!$D$8:$D$42,ROW('03.Muestra'!$C$8:$C$42)-MIN(ROW('03.Muestra'!$D$8:$D$42))+1,""),ROW()-1234)),"")</f>
        <v>Home - PortCastelló</v>
      </c>
      <c r="C1265" s="114" t="str" cm="1">
        <f t="array" ref="C1265">IFERROR(INDEX('03.Muestra'!$F$8:$F$42,SMALL(IF("Página Web"='03.Muestra'!$D$8:$D$42,ROW('03.Muestra'!$F$8:$F$42)-MIN(ROW('03.Muestra'!$D$8:$D$42))+1,""),ROW()-1234)),"")</f>
        <v>https://www.portcastello.com/</v>
      </c>
      <c r="D1265" s="130" t="str">
        <f t="shared" si="65"/>
        <v>N/T</v>
      </c>
      <c r="E1265" s="107" t="str">
        <f t="shared" si="64"/>
        <v/>
      </c>
      <c r="F1265" s="124"/>
      <c r="G1265" s="19"/>
      <c r="H1265" s="19"/>
      <c r="I1265" s="19"/>
      <c r="J1265" s="19"/>
      <c r="K1265" s="233"/>
      <c r="L1265" s="19"/>
    </row>
    <row r="1266" spans="1:12" ht="12" customHeight="1">
      <c r="A1266" s="219" t="n" cm="1">
        <f t="array" ref="A1266">IFERROR(INDEX('03.Muestra'!$B$8:$B$42,SMALL(IF("Página Web"='03.Muestra'!$D$8:$D$42,ROW('03.Muestra'!$B$8:$B$42)-MIN(ROW('03.Muestra'!$D$8:$D$42))+1,""),ROW()-1234)),"")</f>
        <v>1.0</v>
      </c>
      <c r="B1266" s="114" t="str" cm="1">
        <f t="array" ref="B1266">IFERROR(INDEX('03.Muestra'!$C$8:$C$42,SMALL(IF("Página Web"='03.Muestra'!$D$8:$D$42,ROW('03.Muestra'!$C$8:$C$42)-MIN(ROW('03.Muestra'!$D$8:$D$42))+1,""),ROW()-1234)),"")</f>
        <v>Home - PortCastelló</v>
      </c>
      <c r="C1266" s="114" t="str" cm="1">
        <f t="array" ref="C1266">IFERROR(INDEX('03.Muestra'!$F$8:$F$42,SMALL(IF("Página Web"='03.Muestra'!$D$8:$D$42,ROW('03.Muestra'!$F$8:$F$42)-MIN(ROW('03.Muestra'!$D$8:$D$42))+1,""),ROW()-1234)),"")</f>
        <v>https://www.portcastello.com/</v>
      </c>
      <c r="D1266" s="130" t="str">
        <f t="shared" si="65"/>
        <v>N/T</v>
      </c>
      <c r="E1266" s="107" t="str">
        <f t="shared" si="64"/>
        <v/>
      </c>
      <c r="F1266" s="124"/>
      <c r="G1266" s="19"/>
      <c r="H1266" s="19"/>
      <c r="I1266" s="19"/>
      <c r="J1266" s="19"/>
      <c r="K1266" s="233"/>
      <c r="L1266" s="19"/>
    </row>
    <row r="1267" spans="1:12" ht="12" customHeight="1">
      <c r="A1267" s="219" t="n" cm="1">
        <f t="array" ref="A1267">IFERROR(INDEX('03.Muestra'!$B$8:$B$42,SMALL(IF("Página Web"='03.Muestra'!$D$8:$D$42,ROW('03.Muestra'!$B$8:$B$42)-MIN(ROW('03.Muestra'!$D$8:$D$42))+1,""),ROW()-1234)),"")</f>
        <v>1.0</v>
      </c>
      <c r="B1267" s="114" t="str" cm="1">
        <f t="array" ref="B1267">IFERROR(INDEX('03.Muestra'!$C$8:$C$42,SMALL(IF("Página Web"='03.Muestra'!$D$8:$D$42,ROW('03.Muestra'!$C$8:$C$42)-MIN(ROW('03.Muestra'!$D$8:$D$42))+1,""),ROW()-1234)),"")</f>
        <v>Home - PortCastelló</v>
      </c>
      <c r="C1267" s="114" t="str" cm="1">
        <f t="array" ref="C1267">IFERROR(INDEX('03.Muestra'!$F$8:$F$42,SMALL(IF("Página Web"='03.Muestra'!$D$8:$D$42,ROW('03.Muestra'!$F$8:$F$42)-MIN(ROW('03.Muestra'!$D$8:$D$42))+1,""),ROW()-1234)),"")</f>
        <v>https://www.portcastello.com/</v>
      </c>
      <c r="D1267" s="130" t="str">
        <f t="shared" si="65"/>
        <v>N/T</v>
      </c>
      <c r="E1267" s="107" t="str">
        <f t="shared" si="64"/>
        <v/>
      </c>
      <c r="F1267" s="124"/>
      <c r="G1267" s="19"/>
      <c r="H1267" s="19"/>
      <c r="I1267" s="19"/>
      <c r="J1267" s="19"/>
      <c r="K1267" s="233"/>
      <c r="L1267" s="19"/>
    </row>
    <row r="1268" spans="1:12" ht="12" customHeight="1">
      <c r="A1268" s="219" t="str" cm="1">
        <f t="array" ref="A1268">IFERROR(INDEX('03.Muestra'!$B$8:$B$42,SMALL(IF("Página Web"='03.Muestra'!$D$8:$D$42,ROW('03.Muestra'!$B$8:$B$42)-MIN(ROW('03.Muestra'!$D$8:$D$42))+1,""),ROW()-1234)),"")</f>
        <v/>
      </c>
      <c r="B1268" s="114" t="str" cm="1">
        <f t="array" ref="B1268">IFERROR(INDEX('03.Muestra'!$C$8:$C$42,SMALL(IF("Página Web"='03.Muestra'!$D$8:$D$42,ROW('03.Muestra'!$C$8:$C$42)-MIN(ROW('03.Muestra'!$D$8:$D$42))+1,""),ROW()-1234)),"")</f>
        <v/>
      </c>
      <c r="C1268" s="114" t="str" cm="1">
        <f t="array" ref="C1268">IFERROR(INDEX('03.Muestra'!$F$8:$F$42,SMALL(IF("Página Web"='03.Muestra'!$D$8:$D$42,ROW('03.Muestra'!$F$8:$F$42)-MIN(ROW('03.Muestra'!$D$8:$D$42))+1,""),ROW()-1234)),"")</f>
        <v/>
      </c>
      <c r="D1268" s="130" t="str">
        <f t="shared" si="65"/>
        <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268</v>
      </c>
      <c r="B1272" s="24" t="s">
        <v>90</v>
      </c>
      <c r="C1272" s="25" t="s">
        <v>406</v>
      </c>
      <c r="D1272" s="26" t="s">
        <v>32</v>
      </c>
      <c r="E1272" s="123"/>
      <c r="K1272" s="233"/>
      <c r="L1272" s="19"/>
    </row>
    <row r="1273" spans="1:12" ht="12" customHeight="1">
      <c r="A1273" s="219" t="n" cm="1">
        <f t="array" ref="A1273">IFERROR(INDEX('03.Muestra'!$B$8:$B$42,SMALL(IF("Página Web"='03.Muestra'!$D$8:$D$42,ROW('03.Muestra'!$B$8:$B$42)-MIN(ROW('03.Muestra'!$D$8:$D$42))+1,""),ROW()-1272)),"")</f>
        <v>1.0</v>
      </c>
      <c r="B1273" s="114" t="str" cm="1">
        <f t="array" ref="B1273">IFERROR(INDEX('03.Muestra'!$C$8:$C$42,SMALL(IF("Página Web"='03.Muestra'!$D$8:$D$42,ROW('03.Muestra'!$C$8:$C$42)-MIN(ROW('03.Muestra'!$D$8:$D$42))+1,""),ROW()-1272)),"")</f>
        <v>Home - PortCastelló</v>
      </c>
      <c r="C1273" s="114" t="str" cm="1">
        <f t="array" ref="C1273">IFERROR(INDEX('03.Muestra'!$F$8:$F$42,SMALL(IF("Página Web"='03.Muestra'!$D$8:$D$42,ROW('03.Muestra'!$F$8:$F$42)-MIN(ROW('03.Muestra'!$D$8:$D$42))+1,""),ROW()-1272)),"")</f>
        <v>https://www.portcastello.com/</v>
      </c>
      <c r="D1273" s="130" t="str">
        <f>IF(AND(B1273&lt;&gt;"",C1273&lt;&gt;""),"N/T","")</f>
        <v>N/T</v>
      </c>
      <c r="E1273" s="107" t="str">
        <f t="shared" ref="E1273:E1307" si="66">IF(D1273&lt;&gt;"",IF(AND(B1273&lt;&gt;"",C1273&lt;&gt;""),"","ERR"),"")</f>
        <v/>
      </c>
      <c r="F1273" s="115" t="s">
        <v>33</v>
      </c>
      <c r="G1273" s="116" t="s">
        <v>37</v>
      </c>
      <c r="H1273" s="117" t="s">
        <v>35</v>
      </c>
      <c r="I1273" s="118" t="s">
        <v>28</v>
      </c>
      <c r="J1273" s="119" t="s">
        <v>26</v>
      </c>
      <c r="K1273" s="226" t="s">
        <v>474</v>
      </c>
      <c r="L1273" s="19"/>
    </row>
    <row r="1274" spans="1:12" ht="12" customHeight="1">
      <c r="A1274" s="219" t="n" cm="1">
        <f t="array" ref="A1274">IFERROR(INDEX('03.Muestra'!$B$8:$B$42,SMALL(IF("Página Web"='03.Muestra'!$D$8:$D$42,ROW('03.Muestra'!$B$8:$B$42)-MIN(ROW('03.Muestra'!$D$8:$D$42))+1,""),ROW()-1272)),"")</f>
        <v>1.0</v>
      </c>
      <c r="B1274" s="114" t="str" cm="1">
        <f t="array" ref="B1274">IFERROR(INDEX('03.Muestra'!$C$8:$C$42,SMALL(IF("Página Web"='03.Muestra'!$D$8:$D$42,ROW('03.Muestra'!$C$8:$C$42)-MIN(ROW('03.Muestra'!$D$8:$D$42))+1,""),ROW()-1272)),"")</f>
        <v>Home - PortCastelló</v>
      </c>
      <c r="C1274" s="114" t="str" cm="1">
        <f t="array" ref="C1274">IFERROR(INDEX('03.Muestra'!$F$8:$F$42,SMALL(IF("Página Web"='03.Muestra'!$D$8:$D$42,ROW('03.Muestra'!$F$8:$F$42)-MIN(ROW('03.Muestra'!$D$8:$D$42))+1,""),ROW()-1272)),"")</f>
        <v>https://www.portcastello.com/</v>
      </c>
      <c r="D1274" s="130" t="str">
        <f t="shared" ref="D1274:D1307" si="67">IF(AND(B1274&lt;&gt;"",C1274&lt;&gt;""),"N/T","")</f>
        <v>N/T</v>
      </c>
      <c r="E1274" s="107" t="str">
        <f t="shared" si="66"/>
        <v/>
      </c>
      <c r="F1274" s="120" t="n">
        <f ca="1">COUNTIF($D1273:INDIRECT("$D" &amp;  SUM(ROW()-1,'03.Muestra'!$D$45)-1),F1273)</f>
        <v>33.0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IF(COUNTIF('03.Muestra'!$D$8:$D$42,"Página Web")=0,0,COUNTBLANK($D1273:INDIRECT("$D" &amp;  SUM(ROW()-1,COUNTIF('03.Muestra'!$D$8:$D$42,"Página Web"))-1)))</f>
        <v>0.0</v>
      </c>
    </row>
    <row r="1275" spans="1:12" ht="12" customHeight="1">
      <c r="A1275" s="219" t="n" cm="1">
        <f t="array" ref="A1275">IFERROR(INDEX('03.Muestra'!$B$8:$B$42,SMALL(IF("Página Web"='03.Muestra'!$D$8:$D$42,ROW('03.Muestra'!$B$8:$B$42)-MIN(ROW('03.Muestra'!$D$8:$D$42))+1,""),ROW()-1272)),"")</f>
        <v>1.0</v>
      </c>
      <c r="B1275" s="114" t="str" cm="1">
        <f t="array" ref="B1275">IFERROR(INDEX('03.Muestra'!$C$8:$C$42,SMALL(IF("Página Web"='03.Muestra'!$D$8:$D$42,ROW('03.Muestra'!$C$8:$C$42)-MIN(ROW('03.Muestra'!$D$8:$D$42))+1,""),ROW()-1272)),"")</f>
        <v>Home - PortCastelló</v>
      </c>
      <c r="C1275" s="114" t="str" cm="1">
        <f t="array" ref="C1275">IFERROR(INDEX('03.Muestra'!$F$8:$F$42,SMALL(IF("Página Web"='03.Muestra'!$D$8:$D$42,ROW('03.Muestra'!$F$8:$F$42)-MIN(ROW('03.Muestra'!$D$8:$D$42))+1,""),ROW()-1272)),"")</f>
        <v>https://www.portcastello.com/</v>
      </c>
      <c r="D1275" s="130" t="str">
        <f t="shared" si="67"/>
        <v>N/T</v>
      </c>
      <c r="E1275" s="107" t="str">
        <f t="shared" si="66"/>
        <v/>
      </c>
      <c r="G1275" s="19"/>
      <c r="H1275" s="19"/>
      <c r="I1275" s="19"/>
      <c r="J1275" s="19"/>
      <c r="K1275" s="233"/>
    </row>
    <row r="1276" spans="1:12" ht="12" customHeight="1">
      <c r="A1276" s="219" t="n" cm="1">
        <f t="array" ref="A1276">IFERROR(INDEX('03.Muestra'!$B$8:$B$42,SMALL(IF("Página Web"='03.Muestra'!$D$8:$D$42,ROW('03.Muestra'!$B$8:$B$42)-MIN(ROW('03.Muestra'!$D$8:$D$42))+1,""),ROW()-1272)),"")</f>
        <v>1.0</v>
      </c>
      <c r="B1276" s="114" t="str" cm="1">
        <f t="array" ref="B1276">IFERROR(INDEX('03.Muestra'!$C$8:$C$42,SMALL(IF("Página Web"='03.Muestra'!$D$8:$D$42,ROW('03.Muestra'!$C$8:$C$42)-MIN(ROW('03.Muestra'!$D$8:$D$42))+1,""),ROW()-1272)),"")</f>
        <v>Home - PortCastelló</v>
      </c>
      <c r="C1276" s="114" t="str" cm="1">
        <f t="array" ref="C1276">IFERROR(INDEX('03.Muestra'!$F$8:$F$42,SMALL(IF("Página Web"='03.Muestra'!$D$8:$D$42,ROW('03.Muestra'!$F$8:$F$42)-MIN(ROW('03.Muestra'!$D$8:$D$42))+1,""),ROW()-1272)),"")</f>
        <v>https://www.portcastello.com/</v>
      </c>
      <c r="D1276" s="130" t="str">
        <f t="shared" si="67"/>
        <v>N/T</v>
      </c>
      <c r="E1276" s="107" t="str">
        <f t="shared" si="66"/>
        <v/>
      </c>
      <c r="G1276" s="19"/>
      <c r="H1276" s="19"/>
      <c r="I1276" s="19"/>
      <c r="J1276" s="19"/>
      <c r="K1276" s="233"/>
    </row>
    <row r="1277" spans="1:12" ht="12" customHeight="1">
      <c r="A1277" s="219" t="n" cm="1">
        <f t="array" ref="A1277">IFERROR(INDEX('03.Muestra'!$B$8:$B$42,SMALL(IF("Página Web"='03.Muestra'!$D$8:$D$42,ROW('03.Muestra'!$B$8:$B$42)-MIN(ROW('03.Muestra'!$D$8:$D$42))+1,""),ROW()-1272)),"")</f>
        <v>1.0</v>
      </c>
      <c r="B1277" s="114" t="str" cm="1">
        <f t="array" ref="B1277">IFERROR(INDEX('03.Muestra'!$C$8:$C$42,SMALL(IF("Página Web"='03.Muestra'!$D$8:$D$42,ROW('03.Muestra'!$C$8:$C$42)-MIN(ROW('03.Muestra'!$D$8:$D$42))+1,""),ROW()-1272)),"")</f>
        <v>Home - PortCastelló</v>
      </c>
      <c r="C1277" s="114" t="str" cm="1">
        <f t="array" ref="C1277">IFERROR(INDEX('03.Muestra'!$F$8:$F$42,SMALL(IF("Página Web"='03.Muestra'!$D$8:$D$42,ROW('03.Muestra'!$F$8:$F$42)-MIN(ROW('03.Muestra'!$D$8:$D$42))+1,""),ROW()-1272)),"")</f>
        <v>https://www.portcastello.com/</v>
      </c>
      <c r="D1277" s="130" t="str">
        <f t="shared" si="67"/>
        <v>N/T</v>
      </c>
      <c r="E1277" s="107" t="str">
        <f t="shared" si="66"/>
        <v/>
      </c>
      <c r="G1277" s="19"/>
      <c r="H1277" s="19"/>
      <c r="I1277" s="19"/>
      <c r="J1277" s="19"/>
      <c r="K1277" s="233"/>
    </row>
    <row r="1278" spans="1:12" ht="12" customHeight="1">
      <c r="A1278" s="219" t="n" cm="1">
        <f t="array" ref="A1278">IFERROR(INDEX('03.Muestra'!$B$8:$B$42,SMALL(IF("Página Web"='03.Muestra'!$D$8:$D$42,ROW('03.Muestra'!$B$8:$B$42)-MIN(ROW('03.Muestra'!$D$8:$D$42))+1,""),ROW()-1272)),"")</f>
        <v>1.0</v>
      </c>
      <c r="B1278" s="114" t="str" cm="1">
        <f t="array" ref="B1278">IFERROR(INDEX('03.Muestra'!$C$8:$C$42,SMALL(IF("Página Web"='03.Muestra'!$D$8:$D$42,ROW('03.Muestra'!$C$8:$C$42)-MIN(ROW('03.Muestra'!$D$8:$D$42))+1,""),ROW()-1272)),"")</f>
        <v>Home - PortCastelló</v>
      </c>
      <c r="C1278" s="114" t="str" cm="1">
        <f t="array" ref="C1278">IFERROR(INDEX('03.Muestra'!$F$8:$F$42,SMALL(IF("Página Web"='03.Muestra'!$D$8:$D$42,ROW('03.Muestra'!$F$8:$F$42)-MIN(ROW('03.Muestra'!$D$8:$D$42))+1,""),ROW()-1272)),"")</f>
        <v>https://www.portcastello.com/</v>
      </c>
      <c r="D1278" s="130" t="str">
        <f t="shared" si="67"/>
        <v>N/T</v>
      </c>
      <c r="E1278" s="107" t="str">
        <f t="shared" si="66"/>
        <v/>
      </c>
      <c r="G1278" s="19"/>
      <c r="H1278" s="19"/>
      <c r="I1278" s="19"/>
      <c r="J1278" s="19"/>
      <c r="K1278" s="233"/>
    </row>
    <row r="1279" spans="1:12" ht="12" customHeight="1">
      <c r="A1279" s="219" t="n" cm="1">
        <f t="array" ref="A1279">IFERROR(INDEX('03.Muestra'!$B$8:$B$42,SMALL(IF("Página Web"='03.Muestra'!$D$8:$D$42,ROW('03.Muestra'!$B$8:$B$42)-MIN(ROW('03.Muestra'!$D$8:$D$42))+1,""),ROW()-1272)),"")</f>
        <v>1.0</v>
      </c>
      <c r="B1279" s="114" t="str" cm="1">
        <f t="array" ref="B1279">IFERROR(INDEX('03.Muestra'!$C$8:$C$42,SMALL(IF("Página Web"='03.Muestra'!$D$8:$D$42,ROW('03.Muestra'!$C$8:$C$42)-MIN(ROW('03.Muestra'!$D$8:$D$42))+1,""),ROW()-1272)),"")</f>
        <v>Home - PortCastelló</v>
      </c>
      <c r="C1279" s="114" t="str" cm="1">
        <f t="array" ref="C1279">IFERROR(INDEX('03.Muestra'!$F$8:$F$42,SMALL(IF("Página Web"='03.Muestra'!$D$8:$D$42,ROW('03.Muestra'!$F$8:$F$42)-MIN(ROW('03.Muestra'!$D$8:$D$42))+1,""),ROW()-1272)),"")</f>
        <v>https://www.portcastello.com/</v>
      </c>
      <c r="D1279" s="130" t="str">
        <f t="shared" si="67"/>
        <v>N/T</v>
      </c>
      <c r="E1279" s="107" t="str">
        <f t="shared" si="66"/>
        <v/>
      </c>
      <c r="F1279" s="19"/>
      <c r="G1279" s="19"/>
      <c r="H1279" s="19"/>
      <c r="I1279" s="19"/>
      <c r="J1279" s="19"/>
      <c r="K1279" s="233"/>
    </row>
    <row r="1280" spans="1:12" ht="12" customHeight="1">
      <c r="A1280" s="219" t="n" cm="1">
        <f t="array" ref="A1280">IFERROR(INDEX('03.Muestra'!$B$8:$B$42,SMALL(IF("Página Web"='03.Muestra'!$D$8:$D$42,ROW('03.Muestra'!$B$8:$B$42)-MIN(ROW('03.Muestra'!$D$8:$D$42))+1,""),ROW()-1272)),"")</f>
        <v>1.0</v>
      </c>
      <c r="B1280" s="114" t="str" cm="1">
        <f t="array" ref="B1280">IFERROR(INDEX('03.Muestra'!$C$8:$C$42,SMALL(IF("Página Web"='03.Muestra'!$D$8:$D$42,ROW('03.Muestra'!$C$8:$C$42)-MIN(ROW('03.Muestra'!$D$8:$D$42))+1,""),ROW()-1272)),"")</f>
        <v>Home - PortCastelló</v>
      </c>
      <c r="C1280" s="114" t="str" cm="1">
        <f t="array" ref="C1280">IFERROR(INDEX('03.Muestra'!$F$8:$F$42,SMALL(IF("Página Web"='03.Muestra'!$D$8:$D$42,ROW('03.Muestra'!$F$8:$F$42)-MIN(ROW('03.Muestra'!$D$8:$D$42))+1,""),ROW()-1272)),"")</f>
        <v>https://www.portcastello.com/</v>
      </c>
      <c r="D1280" s="130" t="str">
        <f t="shared" si="67"/>
        <v>N/T</v>
      </c>
      <c r="E1280" s="107" t="str">
        <f t="shared" si="66"/>
        <v/>
      </c>
      <c r="F1280" s="19"/>
      <c r="G1280" s="19"/>
      <c r="H1280" s="19"/>
      <c r="I1280" s="19"/>
      <c r="J1280" s="19"/>
      <c r="K1280" s="233"/>
    </row>
    <row r="1281" spans="1:12" ht="12" customHeight="1">
      <c r="A1281" s="219" t="n" cm="1">
        <f t="array" ref="A1281">IFERROR(INDEX('03.Muestra'!$B$8:$B$42,SMALL(IF("Página Web"='03.Muestra'!$D$8:$D$42,ROW('03.Muestra'!$B$8:$B$42)-MIN(ROW('03.Muestra'!$D$8:$D$42))+1,""),ROW()-1272)),"")</f>
        <v>1.0</v>
      </c>
      <c r="B1281" s="114" t="str" cm="1">
        <f t="array" ref="B1281">IFERROR(INDEX('03.Muestra'!$C$8:$C$42,SMALL(IF("Página Web"='03.Muestra'!$D$8:$D$42,ROW('03.Muestra'!$C$8:$C$42)-MIN(ROW('03.Muestra'!$D$8:$D$42))+1,""),ROW()-1272)),"")</f>
        <v>Home - PortCastelló</v>
      </c>
      <c r="C1281" s="114" t="str" cm="1">
        <f t="array" ref="C1281">IFERROR(INDEX('03.Muestra'!$F$8:$F$42,SMALL(IF("Página Web"='03.Muestra'!$D$8:$D$42,ROW('03.Muestra'!$F$8:$F$42)-MIN(ROW('03.Muestra'!$D$8:$D$42))+1,""),ROW()-1272)),"")</f>
        <v>https://www.portcastello.com/</v>
      </c>
      <c r="D1281" s="130" t="str">
        <f t="shared" si="67"/>
        <v>N/T</v>
      </c>
      <c r="E1281" s="107" t="str">
        <f t="shared" si="66"/>
        <v/>
      </c>
      <c r="F1281" s="19"/>
      <c r="G1281" s="19"/>
      <c r="H1281" s="19"/>
      <c r="I1281" s="19"/>
      <c r="J1281" s="19"/>
      <c r="K1281" s="233"/>
      <c r="L1281" s="19"/>
    </row>
    <row r="1282" spans="1:12" ht="12" customHeight="1">
      <c r="A1282" s="219" t="n"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Home - PortCastelló</v>
      </c>
      <c r="C1282" s="114" t="str" cm="1">
        <f t="array" ref="C1282">IFERROR(INDEX('03.Muestra'!$F$8:$F$42,SMALL(IF("Página Web"='03.Muestra'!$D$8:$D$42,ROW('03.Muestra'!$F$8:$F$42)-MIN(ROW('03.Muestra'!$D$8:$D$42))+1,""),ROW()-1272)),"")</f>
        <v>https://www.portcastello.com/</v>
      </c>
      <c r="D1282" s="130" t="str">
        <f t="shared" si="67"/>
        <v>N/T</v>
      </c>
      <c r="E1282" s="107" t="str">
        <f t="shared" si="66"/>
        <v/>
      </c>
      <c r="F1282" s="19"/>
      <c r="G1282" s="19"/>
      <c r="H1282" s="19"/>
      <c r="I1282" s="19"/>
      <c r="J1282" s="19"/>
      <c r="K1282" s="233"/>
      <c r="L1282" s="19"/>
    </row>
    <row r="1283" spans="1:12" ht="12" customHeight="1">
      <c r="A1283" s="219" t="n" cm="1">
        <f t="array" ref="A1283">IFERROR(INDEX('03.Muestra'!$B$8:$B$42,SMALL(IF("Página Web"='03.Muestra'!$D$8:$D$42,ROW('03.Muestra'!$B$8:$B$42)-MIN(ROW('03.Muestra'!$D$8:$D$42))+1,""),ROW()-1272)),"")</f>
        <v>1.0</v>
      </c>
      <c r="B1283" s="114" t="str" cm="1">
        <f t="array" ref="B1283">IFERROR(INDEX('03.Muestra'!$C$8:$C$42,SMALL(IF("Página Web"='03.Muestra'!$D$8:$D$42,ROW('03.Muestra'!$C$8:$C$42)-MIN(ROW('03.Muestra'!$D$8:$D$42))+1,""),ROW()-1272)),"")</f>
        <v>Home - PortCastelló</v>
      </c>
      <c r="C1283" s="114" t="str" cm="1">
        <f t="array" ref="C1283">IFERROR(INDEX('03.Muestra'!$F$8:$F$42,SMALL(IF("Página Web"='03.Muestra'!$D$8:$D$42,ROW('03.Muestra'!$F$8:$F$42)-MIN(ROW('03.Muestra'!$D$8:$D$42))+1,""),ROW()-1272)),"")</f>
        <v>https://www.portcastello.com/</v>
      </c>
      <c r="D1283" s="130" t="str">
        <f t="shared" si="67"/>
        <v>N/T</v>
      </c>
      <c r="E1283" s="107" t="str">
        <f t="shared" si="66"/>
        <v/>
      </c>
      <c r="F1283" s="19"/>
      <c r="G1283" s="19"/>
      <c r="H1283" s="19"/>
      <c r="I1283" s="19"/>
      <c r="J1283" s="19"/>
      <c r="K1283" s="233"/>
      <c r="L1283" s="19"/>
    </row>
    <row r="1284" spans="1:12" ht="12" customHeight="1">
      <c r="A1284" s="219" t="n" cm="1">
        <f t="array" ref="A1284">IFERROR(INDEX('03.Muestra'!$B$8:$B$42,SMALL(IF("Página Web"='03.Muestra'!$D$8:$D$42,ROW('03.Muestra'!$B$8:$B$42)-MIN(ROW('03.Muestra'!$D$8:$D$42))+1,""),ROW()-1272)),"")</f>
        <v>1.0</v>
      </c>
      <c r="B1284" s="114" t="str" cm="1">
        <f t="array" ref="B1284">IFERROR(INDEX('03.Muestra'!$C$8:$C$42,SMALL(IF("Página Web"='03.Muestra'!$D$8:$D$42,ROW('03.Muestra'!$C$8:$C$42)-MIN(ROW('03.Muestra'!$D$8:$D$42))+1,""),ROW()-1272)),"")</f>
        <v>Home - PortCastelló</v>
      </c>
      <c r="C1284" s="114" t="str" cm="1">
        <f t="array" ref="C1284">IFERROR(INDEX('03.Muestra'!$F$8:$F$42,SMALL(IF("Página Web"='03.Muestra'!$D$8:$D$42,ROW('03.Muestra'!$F$8:$F$42)-MIN(ROW('03.Muestra'!$D$8:$D$42))+1,""),ROW()-1272)),"")</f>
        <v>https://www.portcastello.com/</v>
      </c>
      <c r="D1284" s="130" t="str">
        <f t="shared" si="67"/>
        <v>N/T</v>
      </c>
      <c r="E1284" s="107" t="str">
        <f t="shared" si="66"/>
        <v/>
      </c>
      <c r="F1284" s="19"/>
      <c r="G1284" s="19"/>
      <c r="H1284" s="19"/>
      <c r="I1284" s="19"/>
      <c r="J1284" s="19"/>
      <c r="K1284" s="233"/>
      <c r="L1284" s="19"/>
    </row>
    <row r="1285" spans="1:12" ht="12" customHeight="1">
      <c r="A1285" s="219" t="n" cm="1">
        <f t="array" ref="A1285">IFERROR(INDEX('03.Muestra'!$B$8:$B$42,SMALL(IF("Página Web"='03.Muestra'!$D$8:$D$42,ROW('03.Muestra'!$B$8:$B$42)-MIN(ROW('03.Muestra'!$D$8:$D$42))+1,""),ROW()-1272)),"")</f>
        <v>1.0</v>
      </c>
      <c r="B1285" s="114" t="str" cm="1">
        <f t="array" ref="B1285">IFERROR(INDEX('03.Muestra'!$C$8:$C$42,SMALL(IF("Página Web"='03.Muestra'!$D$8:$D$42,ROW('03.Muestra'!$C$8:$C$42)-MIN(ROW('03.Muestra'!$D$8:$D$42))+1,""),ROW()-1272)),"")</f>
        <v>Home - PortCastelló</v>
      </c>
      <c r="C1285" s="114" t="str" cm="1">
        <f t="array" ref="C1285">IFERROR(INDEX('03.Muestra'!$F$8:$F$42,SMALL(IF("Página Web"='03.Muestra'!$D$8:$D$42,ROW('03.Muestra'!$F$8:$F$42)-MIN(ROW('03.Muestra'!$D$8:$D$42))+1,""),ROW()-1272)),"")</f>
        <v>https://www.portcastello.com/</v>
      </c>
      <c r="D1285" s="130" t="str">
        <f t="shared" si="67"/>
        <v>N/T</v>
      </c>
      <c r="E1285" s="107" t="str">
        <f t="shared" si="66"/>
        <v/>
      </c>
      <c r="F1285" s="19"/>
      <c r="G1285" s="19"/>
      <c r="H1285" s="19"/>
      <c r="I1285" s="19"/>
      <c r="J1285" s="19"/>
      <c r="K1285" s="233"/>
      <c r="L1285" s="19"/>
    </row>
    <row r="1286" spans="1:12" ht="12" customHeight="1">
      <c r="A1286" s="219" t="n" cm="1">
        <f t="array" ref="A1286">IFERROR(INDEX('03.Muestra'!$B$8:$B$42,SMALL(IF("Página Web"='03.Muestra'!$D$8:$D$42,ROW('03.Muestra'!$B$8:$B$42)-MIN(ROW('03.Muestra'!$D$8:$D$42))+1,""),ROW()-1272)),"")</f>
        <v>1.0</v>
      </c>
      <c r="B1286" s="114" t="str" cm="1">
        <f t="array" ref="B1286">IFERROR(INDEX('03.Muestra'!$C$8:$C$42,SMALL(IF("Página Web"='03.Muestra'!$D$8:$D$42,ROW('03.Muestra'!$C$8:$C$42)-MIN(ROW('03.Muestra'!$D$8:$D$42))+1,""),ROW()-1272)),"")</f>
        <v>Home - PortCastelló</v>
      </c>
      <c r="C1286" s="114" t="str" cm="1">
        <f t="array" ref="C1286">IFERROR(INDEX('03.Muestra'!$F$8:$F$42,SMALL(IF("Página Web"='03.Muestra'!$D$8:$D$42,ROW('03.Muestra'!$F$8:$F$42)-MIN(ROW('03.Muestra'!$D$8:$D$42))+1,""),ROW()-1272)),"")</f>
        <v>https://www.portcastello.com/</v>
      </c>
      <c r="D1286" s="130" t="str">
        <f t="shared" si="67"/>
        <v>N/T</v>
      </c>
      <c r="E1286" s="107" t="str">
        <f t="shared" si="66"/>
        <v/>
      </c>
      <c r="F1286" s="19"/>
      <c r="G1286" s="19"/>
      <c r="H1286" s="19"/>
      <c r="I1286" s="19"/>
      <c r="J1286" s="19"/>
      <c r="K1286" s="233"/>
      <c r="L1286" s="19"/>
    </row>
    <row r="1287" spans="1:12" ht="12" customHeight="1">
      <c r="A1287" s="219" t="n" cm="1">
        <f t="array" ref="A1287">IFERROR(INDEX('03.Muestra'!$B$8:$B$42,SMALL(IF("Página Web"='03.Muestra'!$D$8:$D$42,ROW('03.Muestra'!$B$8:$B$42)-MIN(ROW('03.Muestra'!$D$8:$D$42))+1,""),ROW()-1272)),"")</f>
        <v>1.0</v>
      </c>
      <c r="B1287" s="114" t="str" cm="1">
        <f t="array" ref="B1287">IFERROR(INDEX('03.Muestra'!$C$8:$C$42,SMALL(IF("Página Web"='03.Muestra'!$D$8:$D$42,ROW('03.Muestra'!$C$8:$C$42)-MIN(ROW('03.Muestra'!$D$8:$D$42))+1,""),ROW()-1272)),"")</f>
        <v>Home - PortCastelló</v>
      </c>
      <c r="C1287" s="114" t="str" cm="1">
        <f t="array" ref="C1287">IFERROR(INDEX('03.Muestra'!$F$8:$F$42,SMALL(IF("Página Web"='03.Muestra'!$D$8:$D$42,ROW('03.Muestra'!$F$8:$F$42)-MIN(ROW('03.Muestra'!$D$8:$D$42))+1,""),ROW()-1272)),"")</f>
        <v>https://www.portcastello.com/</v>
      </c>
      <c r="D1287" s="130" t="str">
        <f t="shared" si="67"/>
        <v>N/T</v>
      </c>
      <c r="E1287" s="107" t="str">
        <f t="shared" si="66"/>
        <v/>
      </c>
      <c r="F1287" s="19"/>
      <c r="G1287" s="19"/>
      <c r="H1287" s="19"/>
      <c r="I1287" s="19"/>
      <c r="J1287" s="19"/>
      <c r="K1287" s="233"/>
      <c r="L1287" s="19"/>
    </row>
    <row r="1288" spans="1:12" ht="12" customHeight="1">
      <c r="A1288" s="219" t="n" cm="1">
        <f t="array" ref="A1288">IFERROR(INDEX('03.Muestra'!$B$8:$B$42,SMALL(IF("Página Web"='03.Muestra'!$D$8:$D$42,ROW('03.Muestra'!$B$8:$B$42)-MIN(ROW('03.Muestra'!$D$8:$D$42))+1,""),ROW()-1272)),"")</f>
        <v>1.0</v>
      </c>
      <c r="B1288" s="114" t="str" cm="1">
        <f t="array" ref="B1288">IFERROR(INDEX('03.Muestra'!$C$8:$C$42,SMALL(IF("Página Web"='03.Muestra'!$D$8:$D$42,ROW('03.Muestra'!$C$8:$C$42)-MIN(ROW('03.Muestra'!$D$8:$D$42))+1,""),ROW()-1272)),"")</f>
        <v>Home - PortCastelló</v>
      </c>
      <c r="C1288" s="114" t="str" cm="1">
        <f t="array" ref="C1288">IFERROR(INDEX('03.Muestra'!$F$8:$F$42,SMALL(IF("Página Web"='03.Muestra'!$D$8:$D$42,ROW('03.Muestra'!$F$8:$F$42)-MIN(ROW('03.Muestra'!$D$8:$D$42))+1,""),ROW()-1272)),"")</f>
        <v>https://www.portcastello.com/</v>
      </c>
      <c r="D1288" s="130" t="str">
        <f t="shared" si="67"/>
        <v>N/T</v>
      </c>
      <c r="E1288" s="107" t="str">
        <f t="shared" si="66"/>
        <v/>
      </c>
      <c r="F1288" s="19"/>
      <c r="G1288" s="19"/>
      <c r="H1288" s="19"/>
      <c r="I1288" s="19"/>
      <c r="J1288" s="19"/>
      <c r="K1288" s="233"/>
      <c r="L1288" s="19"/>
    </row>
    <row r="1289" spans="1:12" ht="12" customHeight="1">
      <c r="A1289" s="219" t="n" cm="1">
        <f t="array" ref="A1289">IFERROR(INDEX('03.Muestra'!$B$8:$B$42,SMALL(IF("Página Web"='03.Muestra'!$D$8:$D$42,ROW('03.Muestra'!$B$8:$B$42)-MIN(ROW('03.Muestra'!$D$8:$D$42))+1,""),ROW()-1272)),"")</f>
        <v>1.0</v>
      </c>
      <c r="B1289" s="114" t="str" cm="1">
        <f t="array" ref="B1289">IFERROR(INDEX('03.Muestra'!$C$8:$C$42,SMALL(IF("Página Web"='03.Muestra'!$D$8:$D$42,ROW('03.Muestra'!$C$8:$C$42)-MIN(ROW('03.Muestra'!$D$8:$D$42))+1,""),ROW()-1272)),"")</f>
        <v>Home - PortCastelló</v>
      </c>
      <c r="C1289" s="114" t="str" cm="1">
        <f t="array" ref="C1289">IFERROR(INDEX('03.Muestra'!$F$8:$F$42,SMALL(IF("Página Web"='03.Muestra'!$D$8:$D$42,ROW('03.Muestra'!$F$8:$F$42)-MIN(ROW('03.Muestra'!$D$8:$D$42))+1,""),ROW()-1272)),"")</f>
        <v>https://www.portcastello.com/</v>
      </c>
      <c r="D1289" s="130" t="str">
        <f t="shared" si="67"/>
        <v>N/T</v>
      </c>
      <c r="E1289" s="107" t="str">
        <f t="shared" si="66"/>
        <v/>
      </c>
      <c r="F1289" s="19"/>
      <c r="G1289" s="19"/>
      <c r="H1289" s="19"/>
      <c r="I1289" s="19"/>
      <c r="J1289" s="19"/>
      <c r="K1289" s="233"/>
      <c r="L1289" s="19"/>
    </row>
    <row r="1290" spans="1:12" ht="12" customHeight="1">
      <c r="A1290" s="219" t="n" cm="1">
        <f t="array" ref="A1290">IFERROR(INDEX('03.Muestra'!$B$8:$B$42,SMALL(IF("Página Web"='03.Muestra'!$D$8:$D$42,ROW('03.Muestra'!$B$8:$B$42)-MIN(ROW('03.Muestra'!$D$8:$D$42))+1,""),ROW()-1272)),"")</f>
        <v>1.0</v>
      </c>
      <c r="B1290" s="114" t="str" cm="1">
        <f t="array" ref="B1290">IFERROR(INDEX('03.Muestra'!$C$8:$C$42,SMALL(IF("Página Web"='03.Muestra'!$D$8:$D$42,ROW('03.Muestra'!$C$8:$C$42)-MIN(ROW('03.Muestra'!$D$8:$D$42))+1,""),ROW()-1272)),"")</f>
        <v>Home - PortCastelló</v>
      </c>
      <c r="C1290" s="114" t="str" cm="1">
        <f t="array" ref="C1290">IFERROR(INDEX('03.Muestra'!$F$8:$F$42,SMALL(IF("Página Web"='03.Muestra'!$D$8:$D$42,ROW('03.Muestra'!$F$8:$F$42)-MIN(ROW('03.Muestra'!$D$8:$D$42))+1,""),ROW()-1272)),"")</f>
        <v>https://www.portcastello.com/</v>
      </c>
      <c r="D1290" s="130" t="str">
        <f t="shared" si="67"/>
        <v>N/T</v>
      </c>
      <c r="E1290" s="107" t="str">
        <f t="shared" si="66"/>
        <v/>
      </c>
      <c r="F1290" s="19"/>
      <c r="G1290" s="19"/>
      <c r="H1290" s="19"/>
      <c r="I1290" s="19"/>
      <c r="J1290" s="19"/>
      <c r="K1290" s="233"/>
      <c r="L1290" s="19"/>
    </row>
    <row r="1291" spans="1:12" ht="12" customHeight="1">
      <c r="A1291" s="219" t="n" cm="1">
        <f t="array" ref="A1291">IFERROR(INDEX('03.Muestra'!$B$8:$B$42,SMALL(IF("Página Web"='03.Muestra'!$D$8:$D$42,ROW('03.Muestra'!$B$8:$B$42)-MIN(ROW('03.Muestra'!$D$8:$D$42))+1,""),ROW()-1272)),"")</f>
        <v>1.0</v>
      </c>
      <c r="B1291" s="114" t="str" cm="1">
        <f t="array" ref="B1291">IFERROR(INDEX('03.Muestra'!$C$8:$C$42,SMALL(IF("Página Web"='03.Muestra'!$D$8:$D$42,ROW('03.Muestra'!$C$8:$C$42)-MIN(ROW('03.Muestra'!$D$8:$D$42))+1,""),ROW()-1272)),"")</f>
        <v>Home - PortCastelló</v>
      </c>
      <c r="C1291" s="114" t="str" cm="1">
        <f t="array" ref="C1291">IFERROR(INDEX('03.Muestra'!$F$8:$F$42,SMALL(IF("Página Web"='03.Muestra'!$D$8:$D$42,ROW('03.Muestra'!$F$8:$F$42)-MIN(ROW('03.Muestra'!$D$8:$D$42))+1,""),ROW()-1272)),"")</f>
        <v>https://www.portcastello.com/</v>
      </c>
      <c r="D1291" s="130" t="str">
        <f t="shared" si="67"/>
        <v>N/T</v>
      </c>
      <c r="E1291" s="107" t="str">
        <f t="shared" si="66"/>
        <v/>
      </c>
      <c r="F1291" s="19"/>
      <c r="G1291" s="19"/>
      <c r="H1291" s="19"/>
      <c r="I1291" s="19"/>
      <c r="J1291" s="19"/>
      <c r="K1291" s="233"/>
      <c r="L1291" s="19"/>
    </row>
    <row r="1292" spans="1:12" ht="12" customHeight="1">
      <c r="A1292" s="219" t="n" cm="1">
        <f t="array" ref="A1292">IFERROR(INDEX('03.Muestra'!$B$8:$B$42,SMALL(IF("Página Web"='03.Muestra'!$D$8:$D$42,ROW('03.Muestra'!$B$8:$B$42)-MIN(ROW('03.Muestra'!$D$8:$D$42))+1,""),ROW()-1272)),"")</f>
        <v>1.0</v>
      </c>
      <c r="B1292" s="114" t="str" cm="1">
        <f t="array" ref="B1292">IFERROR(INDEX('03.Muestra'!$C$8:$C$42,SMALL(IF("Página Web"='03.Muestra'!$D$8:$D$42,ROW('03.Muestra'!$C$8:$C$42)-MIN(ROW('03.Muestra'!$D$8:$D$42))+1,""),ROW()-1272)),"")</f>
        <v>Home - PortCastelló</v>
      </c>
      <c r="C1292" s="114" t="str" cm="1">
        <f t="array" ref="C1292">IFERROR(INDEX('03.Muestra'!$F$8:$F$42,SMALL(IF("Página Web"='03.Muestra'!$D$8:$D$42,ROW('03.Muestra'!$F$8:$F$42)-MIN(ROW('03.Muestra'!$D$8:$D$42))+1,""),ROW()-1272)),"")</f>
        <v>https://www.portcastello.com/</v>
      </c>
      <c r="D1292" s="130" t="str">
        <f t="shared" si="67"/>
        <v>N/T</v>
      </c>
      <c r="E1292" s="107" t="str">
        <f t="shared" si="66"/>
        <v/>
      </c>
      <c r="F1292" s="19"/>
      <c r="G1292" s="19"/>
      <c r="H1292" s="19"/>
      <c r="I1292" s="19"/>
      <c r="J1292" s="19"/>
      <c r="K1292" s="233"/>
      <c r="L1292" s="19"/>
    </row>
    <row r="1293" spans="1:12" ht="12" customHeight="1">
      <c r="A1293" s="219" t="n" cm="1">
        <f t="array" ref="A1293">IFERROR(INDEX('03.Muestra'!$B$8:$B$42,SMALL(IF("Página Web"='03.Muestra'!$D$8:$D$42,ROW('03.Muestra'!$B$8:$B$42)-MIN(ROW('03.Muestra'!$D$8:$D$42))+1,""),ROW()-1272)),"")</f>
        <v>1.0</v>
      </c>
      <c r="B1293" s="114" t="str" cm="1">
        <f t="array" ref="B1293">IFERROR(INDEX('03.Muestra'!$C$8:$C$42,SMALL(IF("Página Web"='03.Muestra'!$D$8:$D$42,ROW('03.Muestra'!$C$8:$C$42)-MIN(ROW('03.Muestra'!$D$8:$D$42))+1,""),ROW()-1272)),"")</f>
        <v>Home - PortCastelló</v>
      </c>
      <c r="C1293" s="114" t="str" cm="1">
        <f t="array" ref="C1293">IFERROR(INDEX('03.Muestra'!$F$8:$F$42,SMALL(IF("Página Web"='03.Muestra'!$D$8:$D$42,ROW('03.Muestra'!$F$8:$F$42)-MIN(ROW('03.Muestra'!$D$8:$D$42))+1,""),ROW()-1272)),"")</f>
        <v>https://www.portcastello.com/</v>
      </c>
      <c r="D1293" s="130" t="str">
        <f t="shared" si="67"/>
        <v>N/T</v>
      </c>
      <c r="E1293" s="107" t="str">
        <f t="shared" si="66"/>
        <v/>
      </c>
      <c r="F1293" s="19"/>
      <c r="G1293" s="19"/>
      <c r="H1293" s="19"/>
      <c r="I1293" s="19"/>
      <c r="J1293" s="19"/>
      <c r="K1293" s="233"/>
      <c r="L1293" s="19"/>
    </row>
    <row r="1294" spans="1:12" ht="12" customHeight="1">
      <c r="A1294" s="219" t="n" cm="1">
        <f t="array" ref="A1294">IFERROR(INDEX('03.Muestra'!$B$8:$B$42,SMALL(IF("Página Web"='03.Muestra'!$D$8:$D$42,ROW('03.Muestra'!$B$8:$B$42)-MIN(ROW('03.Muestra'!$D$8:$D$42))+1,""),ROW()-1272)),"")</f>
        <v>1.0</v>
      </c>
      <c r="B1294" s="114" t="str" cm="1">
        <f t="array" ref="B1294">IFERROR(INDEX('03.Muestra'!$C$8:$C$42,SMALL(IF("Página Web"='03.Muestra'!$D$8:$D$42,ROW('03.Muestra'!$C$8:$C$42)-MIN(ROW('03.Muestra'!$D$8:$D$42))+1,""),ROW()-1272)),"")</f>
        <v>Home - PortCastelló</v>
      </c>
      <c r="C1294" s="114" t="str" cm="1">
        <f t="array" ref="C1294">IFERROR(INDEX('03.Muestra'!$F$8:$F$42,SMALL(IF("Página Web"='03.Muestra'!$D$8:$D$42,ROW('03.Muestra'!$F$8:$F$42)-MIN(ROW('03.Muestra'!$D$8:$D$42))+1,""),ROW()-1272)),"")</f>
        <v>https://www.portcastello.com/</v>
      </c>
      <c r="D1294" s="130" t="str">
        <f t="shared" si="67"/>
        <v>N/T</v>
      </c>
      <c r="E1294" s="107" t="str">
        <f t="shared" si="66"/>
        <v/>
      </c>
      <c r="F1294" s="19"/>
      <c r="G1294" s="19"/>
      <c r="H1294" s="19"/>
      <c r="I1294" s="19"/>
      <c r="J1294" s="19"/>
      <c r="K1294" s="233"/>
      <c r="L1294" s="19"/>
    </row>
    <row r="1295" spans="1:12" ht="12" customHeight="1">
      <c r="A1295" s="219" t="n" cm="1">
        <f t="array" ref="A1295">IFERROR(INDEX('03.Muestra'!$B$8:$B$42,SMALL(IF("Página Web"='03.Muestra'!$D$8:$D$42,ROW('03.Muestra'!$B$8:$B$42)-MIN(ROW('03.Muestra'!$D$8:$D$42))+1,""),ROW()-1272)),"")</f>
        <v>1.0</v>
      </c>
      <c r="B1295" s="114" t="str" cm="1">
        <f t="array" ref="B1295">IFERROR(INDEX('03.Muestra'!$C$8:$C$42,SMALL(IF("Página Web"='03.Muestra'!$D$8:$D$42,ROW('03.Muestra'!$C$8:$C$42)-MIN(ROW('03.Muestra'!$D$8:$D$42))+1,""),ROW()-1272)),"")</f>
        <v>Home - PortCastelló</v>
      </c>
      <c r="C1295" s="114" t="str" cm="1">
        <f t="array" ref="C1295">IFERROR(INDEX('03.Muestra'!$F$8:$F$42,SMALL(IF("Página Web"='03.Muestra'!$D$8:$D$42,ROW('03.Muestra'!$F$8:$F$42)-MIN(ROW('03.Muestra'!$D$8:$D$42))+1,""),ROW()-1272)),"")</f>
        <v>https://www.portcastello.com/</v>
      </c>
      <c r="D1295" s="130" t="str">
        <f t="shared" si="67"/>
        <v>N/T</v>
      </c>
      <c r="E1295" s="107" t="str">
        <f t="shared" si="66"/>
        <v/>
      </c>
      <c r="F1295" s="19"/>
      <c r="G1295" s="19"/>
      <c r="H1295" s="19"/>
      <c r="I1295" s="19"/>
      <c r="J1295" s="19"/>
      <c r="K1295" s="233"/>
      <c r="L1295" s="19"/>
    </row>
    <row r="1296" spans="1:12" ht="12" customHeight="1">
      <c r="A1296" s="219" t="n" cm="1">
        <f t="array" ref="A1296">IFERROR(INDEX('03.Muestra'!$B$8:$B$42,SMALL(IF("Página Web"='03.Muestra'!$D$8:$D$42,ROW('03.Muestra'!$B$8:$B$42)-MIN(ROW('03.Muestra'!$D$8:$D$42))+1,""),ROW()-1272)),"")</f>
        <v>1.0</v>
      </c>
      <c r="B1296" s="114" t="str" cm="1">
        <f t="array" ref="B1296">IFERROR(INDEX('03.Muestra'!$C$8:$C$42,SMALL(IF("Página Web"='03.Muestra'!$D$8:$D$42,ROW('03.Muestra'!$C$8:$C$42)-MIN(ROW('03.Muestra'!$D$8:$D$42))+1,""),ROW()-1272)),"")</f>
        <v>Home - PortCastelló</v>
      </c>
      <c r="C1296" s="114" t="str" cm="1">
        <f t="array" ref="C1296">IFERROR(INDEX('03.Muestra'!$F$8:$F$42,SMALL(IF("Página Web"='03.Muestra'!$D$8:$D$42,ROW('03.Muestra'!$F$8:$F$42)-MIN(ROW('03.Muestra'!$D$8:$D$42))+1,""),ROW()-1272)),"")</f>
        <v>https://www.portcastello.com/</v>
      </c>
      <c r="D1296" s="130" t="str">
        <f t="shared" si="67"/>
        <v>N/T</v>
      </c>
      <c r="E1296" s="107" t="str">
        <f t="shared" si="66"/>
        <v/>
      </c>
      <c r="F1296" s="19"/>
      <c r="G1296" s="19"/>
      <c r="H1296" s="19"/>
      <c r="I1296" s="19"/>
      <c r="J1296" s="19"/>
      <c r="K1296" s="233"/>
      <c r="L1296" s="19"/>
    </row>
    <row r="1297" spans="1:12" ht="12" customHeight="1">
      <c r="A1297" s="219" t="n" cm="1">
        <f t="array" ref="A1297">IFERROR(INDEX('03.Muestra'!$B$8:$B$42,SMALL(IF("Página Web"='03.Muestra'!$D$8:$D$42,ROW('03.Muestra'!$B$8:$B$42)-MIN(ROW('03.Muestra'!$D$8:$D$42))+1,""),ROW()-1272)),"")</f>
        <v>1.0</v>
      </c>
      <c r="B1297" s="114" t="str" cm="1">
        <f t="array" ref="B1297">IFERROR(INDEX('03.Muestra'!$C$8:$C$42,SMALL(IF("Página Web"='03.Muestra'!$D$8:$D$42,ROW('03.Muestra'!$C$8:$C$42)-MIN(ROW('03.Muestra'!$D$8:$D$42))+1,""),ROW()-1272)),"")</f>
        <v>Home - PortCastelló</v>
      </c>
      <c r="C1297" s="114" t="str" cm="1">
        <f t="array" ref="C1297">IFERROR(INDEX('03.Muestra'!$F$8:$F$42,SMALL(IF("Página Web"='03.Muestra'!$D$8:$D$42,ROW('03.Muestra'!$F$8:$F$42)-MIN(ROW('03.Muestra'!$D$8:$D$42))+1,""),ROW()-1272)),"")</f>
        <v>https://www.portcastello.com/</v>
      </c>
      <c r="D1297" s="130" t="str">
        <f t="shared" si="67"/>
        <v>N/T</v>
      </c>
      <c r="E1297" s="107" t="str">
        <f t="shared" si="66"/>
        <v/>
      </c>
      <c r="F1297" s="19"/>
      <c r="G1297" s="19"/>
      <c r="H1297" s="19"/>
      <c r="I1297" s="19"/>
      <c r="J1297" s="19"/>
      <c r="K1297" s="233"/>
      <c r="L1297" s="19"/>
    </row>
    <row r="1298" spans="1:12" ht="12" customHeight="1">
      <c r="A1298" s="219" t="n" cm="1">
        <f t="array" ref="A1298">IFERROR(INDEX('03.Muestra'!$B$8:$B$42,SMALL(IF("Página Web"='03.Muestra'!$D$8:$D$42,ROW('03.Muestra'!$B$8:$B$42)-MIN(ROW('03.Muestra'!$D$8:$D$42))+1,""),ROW()-1272)),"")</f>
        <v>1.0</v>
      </c>
      <c r="B1298" s="114" t="str" cm="1">
        <f t="array" ref="B1298">IFERROR(INDEX('03.Muestra'!$C$8:$C$42,SMALL(IF("Página Web"='03.Muestra'!$D$8:$D$42,ROW('03.Muestra'!$C$8:$C$42)-MIN(ROW('03.Muestra'!$D$8:$D$42))+1,""),ROW()-1272)),"")</f>
        <v>Home - PortCastelló</v>
      </c>
      <c r="C1298" s="114" t="str" cm="1">
        <f t="array" ref="C1298">IFERROR(INDEX('03.Muestra'!$F$8:$F$42,SMALL(IF("Página Web"='03.Muestra'!$D$8:$D$42,ROW('03.Muestra'!$F$8:$F$42)-MIN(ROW('03.Muestra'!$D$8:$D$42))+1,""),ROW()-1272)),"")</f>
        <v>https://www.portcastello.com/</v>
      </c>
      <c r="D1298" s="130" t="str">
        <f t="shared" si="67"/>
        <v>N/T</v>
      </c>
      <c r="E1298" s="107" t="str">
        <f t="shared" si="66"/>
        <v/>
      </c>
      <c r="F1298" s="19"/>
      <c r="G1298" s="19"/>
      <c r="H1298" s="19"/>
      <c r="I1298" s="19"/>
      <c r="J1298" s="19"/>
      <c r="K1298" s="233"/>
      <c r="L1298" s="19"/>
    </row>
    <row r="1299" spans="1:12" ht="12" customHeight="1">
      <c r="A1299" s="219" t="n" cm="1">
        <f t="array" ref="A1299">IFERROR(INDEX('03.Muestra'!$B$8:$B$42,SMALL(IF("Página Web"='03.Muestra'!$D$8:$D$42,ROW('03.Muestra'!$B$8:$B$42)-MIN(ROW('03.Muestra'!$D$8:$D$42))+1,""),ROW()-1272)),"")</f>
        <v>1.0</v>
      </c>
      <c r="B1299" s="114" t="str" cm="1">
        <f t="array" ref="B1299">IFERROR(INDEX('03.Muestra'!$C$8:$C$42,SMALL(IF("Página Web"='03.Muestra'!$D$8:$D$42,ROW('03.Muestra'!$C$8:$C$42)-MIN(ROW('03.Muestra'!$D$8:$D$42))+1,""),ROW()-1272)),"")</f>
        <v>Home - PortCastelló</v>
      </c>
      <c r="C1299" s="114" t="str" cm="1">
        <f t="array" ref="C1299">IFERROR(INDEX('03.Muestra'!$F$8:$F$42,SMALL(IF("Página Web"='03.Muestra'!$D$8:$D$42,ROW('03.Muestra'!$F$8:$F$42)-MIN(ROW('03.Muestra'!$D$8:$D$42))+1,""),ROW()-1272)),"")</f>
        <v>https://www.portcastello.com/</v>
      </c>
      <c r="D1299" s="130" t="str">
        <f t="shared" si="67"/>
        <v>N/T</v>
      </c>
      <c r="E1299" s="107" t="str">
        <f t="shared" si="66"/>
        <v/>
      </c>
      <c r="F1299" s="19"/>
      <c r="G1299" s="19"/>
      <c r="H1299" s="19"/>
      <c r="I1299" s="19"/>
      <c r="J1299" s="19"/>
      <c r="K1299" s="233"/>
      <c r="L1299" s="19"/>
    </row>
    <row r="1300" spans="1:12" ht="12" customHeight="1">
      <c r="A1300" s="219" t="n" cm="1">
        <f t="array" ref="A1300">IFERROR(INDEX('03.Muestra'!$B$8:$B$42,SMALL(IF("Página Web"='03.Muestra'!$D$8:$D$42,ROW('03.Muestra'!$B$8:$B$42)-MIN(ROW('03.Muestra'!$D$8:$D$42))+1,""),ROW()-1272)),"")</f>
        <v>1.0</v>
      </c>
      <c r="B1300" s="114" t="str" cm="1">
        <f t="array" ref="B1300">IFERROR(INDEX('03.Muestra'!$C$8:$C$42,SMALL(IF("Página Web"='03.Muestra'!$D$8:$D$42,ROW('03.Muestra'!$C$8:$C$42)-MIN(ROW('03.Muestra'!$D$8:$D$42))+1,""),ROW()-1272)),"")</f>
        <v>Home - PortCastelló</v>
      </c>
      <c r="C1300" s="114" t="str" cm="1">
        <f t="array" ref="C1300">IFERROR(INDEX('03.Muestra'!$F$8:$F$42,SMALL(IF("Página Web"='03.Muestra'!$D$8:$D$42,ROW('03.Muestra'!$F$8:$F$42)-MIN(ROW('03.Muestra'!$D$8:$D$42))+1,""),ROW()-1272)),"")</f>
        <v>https://www.portcastello.com/</v>
      </c>
      <c r="D1300" s="130" t="str">
        <f t="shared" si="67"/>
        <v>N/T</v>
      </c>
      <c r="E1300" s="107" t="str">
        <f t="shared" si="66"/>
        <v/>
      </c>
      <c r="G1300" s="19"/>
      <c r="H1300" s="19"/>
      <c r="I1300" s="19"/>
      <c r="J1300" s="19"/>
      <c r="K1300" s="233"/>
      <c r="L1300" s="19"/>
    </row>
    <row r="1301" spans="1:12" ht="12" customHeight="1">
      <c r="A1301" s="219" t="n" cm="1">
        <f t="array" ref="A1301">IFERROR(INDEX('03.Muestra'!$B$8:$B$42,SMALL(IF("Página Web"='03.Muestra'!$D$8:$D$42,ROW('03.Muestra'!$B$8:$B$42)-MIN(ROW('03.Muestra'!$D$8:$D$42))+1,""),ROW()-1272)),"")</f>
        <v>1.0</v>
      </c>
      <c r="B1301" s="114" t="str" cm="1">
        <f t="array" ref="B1301">IFERROR(INDEX('03.Muestra'!$C$8:$C$42,SMALL(IF("Página Web"='03.Muestra'!$D$8:$D$42,ROW('03.Muestra'!$C$8:$C$42)-MIN(ROW('03.Muestra'!$D$8:$D$42))+1,""),ROW()-1272)),"")</f>
        <v>Home - PortCastelló</v>
      </c>
      <c r="C1301" s="114" t="str" cm="1">
        <f t="array" ref="C1301">IFERROR(INDEX('03.Muestra'!$F$8:$F$42,SMALL(IF("Página Web"='03.Muestra'!$D$8:$D$42,ROW('03.Muestra'!$F$8:$F$42)-MIN(ROW('03.Muestra'!$D$8:$D$42))+1,""),ROW()-1272)),"")</f>
        <v>https://www.portcastello.com/</v>
      </c>
      <c r="D1301" s="130" t="str">
        <f t="shared" si="67"/>
        <v>N/T</v>
      </c>
      <c r="E1301" s="107" t="str">
        <f t="shared" si="66"/>
        <v/>
      </c>
      <c r="F1301" s="124"/>
      <c r="G1301" s="19"/>
      <c r="H1301" s="19"/>
      <c r="I1301" s="19"/>
      <c r="J1301" s="19"/>
      <c r="K1301" s="233"/>
      <c r="L1301" s="19"/>
    </row>
    <row r="1302" spans="1:12" ht="12" customHeight="1">
      <c r="A1302" s="219" t="n" cm="1">
        <f t="array" ref="A1302">IFERROR(INDEX('03.Muestra'!$B$8:$B$42,SMALL(IF("Página Web"='03.Muestra'!$D$8:$D$42,ROW('03.Muestra'!$B$8:$B$42)-MIN(ROW('03.Muestra'!$D$8:$D$42))+1,""),ROW()-1272)),"")</f>
        <v>1.0</v>
      </c>
      <c r="B1302" s="114" t="str" cm="1">
        <f t="array" ref="B1302">IFERROR(INDEX('03.Muestra'!$C$8:$C$42,SMALL(IF("Página Web"='03.Muestra'!$D$8:$D$42,ROW('03.Muestra'!$C$8:$C$42)-MIN(ROW('03.Muestra'!$D$8:$D$42))+1,""),ROW()-1272)),"")</f>
        <v>Home - PortCastelló</v>
      </c>
      <c r="C1302" s="114" t="str" cm="1">
        <f t="array" ref="C1302">IFERROR(INDEX('03.Muestra'!$F$8:$F$42,SMALL(IF("Página Web"='03.Muestra'!$D$8:$D$42,ROW('03.Muestra'!$F$8:$F$42)-MIN(ROW('03.Muestra'!$D$8:$D$42))+1,""),ROW()-1272)),"")</f>
        <v>https://www.portcastello.com/</v>
      </c>
      <c r="D1302" s="130" t="str">
        <f t="shared" si="67"/>
        <v>N/T</v>
      </c>
      <c r="E1302" s="107" t="str">
        <f t="shared" si="66"/>
        <v/>
      </c>
      <c r="F1302" s="124"/>
      <c r="G1302" s="19"/>
      <c r="H1302" s="19"/>
      <c r="I1302" s="19"/>
      <c r="J1302" s="19"/>
      <c r="K1302" s="233"/>
      <c r="L1302" s="19"/>
    </row>
    <row r="1303" spans="1:12" ht="12" customHeight="1">
      <c r="A1303" s="219" t="n" cm="1">
        <f t="array" ref="A1303">IFERROR(INDEX('03.Muestra'!$B$8:$B$42,SMALL(IF("Página Web"='03.Muestra'!$D$8:$D$42,ROW('03.Muestra'!$B$8:$B$42)-MIN(ROW('03.Muestra'!$D$8:$D$42))+1,""),ROW()-1272)),"")</f>
        <v>1.0</v>
      </c>
      <c r="B1303" s="114" t="str" cm="1">
        <f t="array" ref="B1303">IFERROR(INDEX('03.Muestra'!$C$8:$C$42,SMALL(IF("Página Web"='03.Muestra'!$D$8:$D$42,ROW('03.Muestra'!$C$8:$C$42)-MIN(ROW('03.Muestra'!$D$8:$D$42))+1,""),ROW()-1272)),"")</f>
        <v>Home - PortCastelló</v>
      </c>
      <c r="C1303" s="114" t="str" cm="1">
        <f t="array" ref="C1303">IFERROR(INDEX('03.Muestra'!$F$8:$F$42,SMALL(IF("Página Web"='03.Muestra'!$D$8:$D$42,ROW('03.Muestra'!$F$8:$F$42)-MIN(ROW('03.Muestra'!$D$8:$D$42))+1,""),ROW()-1272)),"")</f>
        <v>https://www.portcastello.com/</v>
      </c>
      <c r="D1303" s="130" t="str">
        <f t="shared" si="67"/>
        <v>N/T</v>
      </c>
      <c r="E1303" s="107" t="str">
        <f t="shared" si="66"/>
        <v/>
      </c>
      <c r="F1303" s="124"/>
      <c r="G1303" s="19"/>
      <c r="H1303" s="19"/>
      <c r="I1303" s="19"/>
      <c r="J1303" s="19"/>
      <c r="K1303" s="233"/>
      <c r="L1303" s="19"/>
    </row>
    <row r="1304" spans="1:12" ht="12" customHeight="1">
      <c r="A1304" s="219" t="n" cm="1">
        <f t="array" ref="A1304">IFERROR(INDEX('03.Muestra'!$B$8:$B$42,SMALL(IF("Página Web"='03.Muestra'!$D$8:$D$42,ROW('03.Muestra'!$B$8:$B$42)-MIN(ROW('03.Muestra'!$D$8:$D$42))+1,""),ROW()-1272)),"")</f>
        <v>1.0</v>
      </c>
      <c r="B1304" s="114" t="str" cm="1">
        <f t="array" ref="B1304">IFERROR(INDEX('03.Muestra'!$C$8:$C$42,SMALL(IF("Página Web"='03.Muestra'!$D$8:$D$42,ROW('03.Muestra'!$C$8:$C$42)-MIN(ROW('03.Muestra'!$D$8:$D$42))+1,""),ROW()-1272)),"")</f>
        <v>Home - PortCastelló</v>
      </c>
      <c r="C1304" s="114" t="str" cm="1">
        <f t="array" ref="C1304">IFERROR(INDEX('03.Muestra'!$F$8:$F$42,SMALL(IF("Página Web"='03.Muestra'!$D$8:$D$42,ROW('03.Muestra'!$F$8:$F$42)-MIN(ROW('03.Muestra'!$D$8:$D$42))+1,""),ROW()-1272)),"")</f>
        <v>https://www.portcastello.com/</v>
      </c>
      <c r="D1304" s="130" t="str">
        <f t="shared" si="67"/>
        <v>N/T</v>
      </c>
      <c r="E1304" s="107" t="str">
        <f t="shared" si="66"/>
        <v/>
      </c>
      <c r="F1304" s="124"/>
      <c r="G1304" s="19"/>
      <c r="H1304" s="19"/>
      <c r="I1304" s="19"/>
      <c r="J1304" s="19"/>
      <c r="K1304" s="233"/>
      <c r="L1304" s="19"/>
    </row>
    <row r="1305" spans="1:12" ht="12" customHeight="1">
      <c r="A1305" s="219" t="n" cm="1">
        <f t="array" ref="A1305">IFERROR(INDEX('03.Muestra'!$B$8:$B$42,SMALL(IF("Página Web"='03.Muestra'!$D$8:$D$42,ROW('03.Muestra'!$B$8:$B$42)-MIN(ROW('03.Muestra'!$D$8:$D$42))+1,""),ROW()-1272)),"")</f>
        <v>1.0</v>
      </c>
      <c r="B1305" s="114" t="str" cm="1">
        <f t="array" ref="B1305">IFERROR(INDEX('03.Muestra'!$C$8:$C$42,SMALL(IF("Página Web"='03.Muestra'!$D$8:$D$42,ROW('03.Muestra'!$C$8:$C$42)-MIN(ROW('03.Muestra'!$D$8:$D$42))+1,""),ROW()-1272)),"")</f>
        <v>Home - PortCastelló</v>
      </c>
      <c r="C1305" s="114" t="str" cm="1">
        <f t="array" ref="C1305">IFERROR(INDEX('03.Muestra'!$F$8:$F$42,SMALL(IF("Página Web"='03.Muestra'!$D$8:$D$42,ROW('03.Muestra'!$F$8:$F$42)-MIN(ROW('03.Muestra'!$D$8:$D$42))+1,""),ROW()-1272)),"")</f>
        <v>https://www.portcastello.com/</v>
      </c>
      <c r="D1305" s="130" t="str">
        <f t="shared" si="67"/>
        <v>N/T</v>
      </c>
      <c r="E1305" s="107" t="str">
        <f t="shared" si="66"/>
        <v/>
      </c>
      <c r="F1305" s="124"/>
      <c r="G1305" s="19"/>
      <c r="H1305" s="19"/>
      <c r="I1305" s="19"/>
      <c r="J1305" s="19"/>
      <c r="K1305" s="233"/>
      <c r="L1305" s="19"/>
    </row>
    <row r="1306" spans="1:12" ht="12" customHeight="1">
      <c r="A1306" s="219" t="str" cm="1">
        <f t="array" ref="A1306">IFERROR(INDEX('03.Muestra'!$B$8:$B$42,SMALL(IF("Página Web"='03.Muestra'!$D$8:$D$42,ROW('03.Muestra'!$B$8:$B$42)-MIN(ROW('03.Muestra'!$D$8:$D$42))+1,""),ROW()-1272)),"")</f>
        <v/>
      </c>
      <c r="B1306" s="114" t="str" cm="1">
        <f t="array" ref="B1306">IFERROR(INDEX('03.Muestra'!$C$8:$C$42,SMALL(IF("Página Web"='03.Muestra'!$D$8:$D$42,ROW('03.Muestra'!$C$8:$C$42)-MIN(ROW('03.Muestra'!$D$8:$D$42))+1,""),ROW()-1272)),"")</f>
        <v/>
      </c>
      <c r="C1306" s="114" t="str" cm="1">
        <f t="array" ref="C1306">IFERROR(INDEX('03.Muestra'!$F$8:$F$42,SMALL(IF("Página Web"='03.Muestra'!$D$8:$D$42,ROW('03.Muestra'!$F$8:$F$42)-MIN(ROW('03.Muestra'!$D$8:$D$42))+1,""),ROW()-1272)),"")</f>
        <v/>
      </c>
      <c r="D1306" s="130" t="str">
        <f t="shared" si="67"/>
        <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268</v>
      </c>
      <c r="B1310" s="24" t="s">
        <v>90</v>
      </c>
      <c r="C1310" s="25" t="s">
        <v>407</v>
      </c>
      <c r="D1310" s="26" t="s">
        <v>32</v>
      </c>
      <c r="E1310" s="123"/>
      <c r="K1310" s="233"/>
      <c r="L1310" s="19"/>
    </row>
    <row r="1311" spans="1:12" ht="12" customHeight="1">
      <c r="A1311" s="219" t="n" cm="1">
        <f t="array" ref="A1311">IFERROR(INDEX('03.Muestra'!$B$8:$B$42,SMALL(IF("Página Web"='03.Muestra'!$D$8:$D$42,ROW('03.Muestra'!$B$8:$B$42)-MIN(ROW('03.Muestra'!$D$8:$D$42))+1,""),ROW()-1310)),"")</f>
        <v>1.0</v>
      </c>
      <c r="B1311" s="114" t="str" cm="1">
        <f t="array" ref="B1311">IFERROR(INDEX('03.Muestra'!$C$8:$C$42,SMALL(IF("Página Web"='03.Muestra'!$D$8:$D$42,ROW('03.Muestra'!$C$8:$C$42)-MIN(ROW('03.Muestra'!$D$8:$D$42))+1,""),ROW()-1310)),"")</f>
        <v>Home - PortCastelló</v>
      </c>
      <c r="C1311" s="114" t="str" cm="1">
        <f t="array" ref="C1311">IFERROR(INDEX('03.Muestra'!$F$8:$F$42,SMALL(IF("Página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2" customHeight="1">
      <c r="A1312" s="219" t="n" cm="1">
        <f t="array" ref="A1312">IFERROR(INDEX('03.Muestra'!$B$8:$B$42,SMALL(IF("Página Web"='03.Muestra'!$D$8:$D$42,ROW('03.Muestra'!$B$8:$B$42)-MIN(ROW('03.Muestra'!$D$8:$D$42))+1,""),ROW()-1310)),"")</f>
        <v>1.0</v>
      </c>
      <c r="B1312" s="114" t="str" cm="1">
        <f t="array" ref="B1312">IFERROR(INDEX('03.Muestra'!$C$8:$C$42,SMALL(IF("Página Web"='03.Muestra'!$D$8:$D$42,ROW('03.Muestra'!$C$8:$C$42)-MIN(ROW('03.Muestra'!$D$8:$D$42))+1,""),ROW()-1310)),"")</f>
        <v>Home - PortCastelló</v>
      </c>
      <c r="C1312" s="114" t="str" cm="1">
        <f t="array" ref="C1312">IFERROR(INDEX('03.Muestra'!$F$8:$F$42,SMALL(IF("Página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33.0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IF(COUNTIF('03.Muestra'!$D$8:$D$42,"Página Web")=0,0,COUNTBLANK($D1311:INDIRECT("$D" &amp;  SUM(ROW()-1,COUNTIF('03.Muestra'!$D$8:$D$42,"Página Web"))-1)))</f>
        <v>0.0</v>
      </c>
      <c r="L1312" s="19"/>
    </row>
    <row r="1313" spans="1:12" ht="12" customHeight="1">
      <c r="A1313" s="219" t="n" cm="1">
        <f t="array" ref="A1313">IFERROR(INDEX('03.Muestra'!$B$8:$B$42,SMALL(IF("Página Web"='03.Muestra'!$D$8:$D$42,ROW('03.Muestra'!$B$8:$B$42)-MIN(ROW('03.Muestra'!$D$8:$D$42))+1,""),ROW()-1310)),"")</f>
        <v>1.0</v>
      </c>
      <c r="B1313" s="114" t="str" cm="1">
        <f t="array" ref="B1313">IFERROR(INDEX('03.Muestra'!$C$8:$C$42,SMALL(IF("Página Web"='03.Muestra'!$D$8:$D$42,ROW('03.Muestra'!$C$8:$C$42)-MIN(ROW('03.Muestra'!$D$8:$D$42))+1,""),ROW()-1310)),"")</f>
        <v>Home - PortCastelló</v>
      </c>
      <c r="C1313" s="114" t="str" cm="1">
        <f t="array" ref="C1313">IFERROR(INDEX('03.Muestra'!$F$8:$F$42,SMALL(IF("Página Web"='03.Muestra'!$D$8:$D$42,ROW('03.Muestra'!$F$8:$F$42)-MIN(ROW('03.Muestra'!$D$8:$D$42))+1,""),ROW()-1310)),"")</f>
        <v>https://www.portcastello.com/</v>
      </c>
      <c r="D1313" s="130" t="s">
        <v>37</v>
      </c>
      <c r="E1313" s="107" t="str">
        <f t="shared" si="68"/>
        <v/>
      </c>
      <c r="G1313" s="19"/>
      <c r="H1313" s="19"/>
      <c r="I1313" s="19"/>
      <c r="J1313" s="19"/>
      <c r="K1313" s="233"/>
      <c r="L1313" s="19"/>
    </row>
    <row r="1314" spans="1:12" ht="12" customHeight="1">
      <c r="A1314" s="219" t="n" cm="1">
        <f t="array" ref="A1314">IFERROR(INDEX('03.Muestra'!$B$8:$B$42,SMALL(IF("Página Web"='03.Muestra'!$D$8:$D$42,ROW('03.Muestra'!$B$8:$B$42)-MIN(ROW('03.Muestra'!$D$8:$D$42))+1,""),ROW()-1310)),"")</f>
        <v>1.0</v>
      </c>
      <c r="B1314" s="114" t="str" cm="1">
        <f t="array" ref="B1314">IFERROR(INDEX('03.Muestra'!$C$8:$C$42,SMALL(IF("Página Web"='03.Muestra'!$D$8:$D$42,ROW('03.Muestra'!$C$8:$C$42)-MIN(ROW('03.Muestra'!$D$8:$D$42))+1,""),ROW()-1310)),"")</f>
        <v>Home - PortCastelló</v>
      </c>
      <c r="C1314" s="114" t="str" cm="1">
        <f t="array" ref="C1314">IFERROR(INDEX('03.Muestra'!$F$8:$F$42,SMALL(IF("Página Web"='03.Muestra'!$D$8:$D$42,ROW('03.Muestra'!$F$8:$F$42)-MIN(ROW('03.Muestra'!$D$8:$D$42))+1,""),ROW()-1310)),"")</f>
        <v>https://www.portcastello.com/</v>
      </c>
      <c r="D1314" s="130" t="s">
        <v>37</v>
      </c>
      <c r="E1314" s="107" t="str">
        <f t="shared" si="68"/>
        <v/>
      </c>
      <c r="G1314" s="19"/>
      <c r="H1314" s="19"/>
      <c r="I1314" s="19"/>
      <c r="J1314" s="19"/>
      <c r="K1314" s="233"/>
      <c r="L1314" s="19"/>
    </row>
    <row r="1315" spans="1:12" ht="12" customHeight="1">
      <c r="A1315" s="219" t="n" cm="1">
        <f t="array" ref="A1315">IFERROR(INDEX('03.Muestra'!$B$8:$B$42,SMALL(IF("Página Web"='03.Muestra'!$D$8:$D$42,ROW('03.Muestra'!$B$8:$B$42)-MIN(ROW('03.Muestra'!$D$8:$D$42))+1,""),ROW()-1310)),"")</f>
        <v>1.0</v>
      </c>
      <c r="B1315" s="114" t="str" cm="1">
        <f t="array" ref="B1315">IFERROR(INDEX('03.Muestra'!$C$8:$C$42,SMALL(IF("Página Web"='03.Muestra'!$D$8:$D$42,ROW('03.Muestra'!$C$8:$C$42)-MIN(ROW('03.Muestra'!$D$8:$D$42))+1,""),ROW()-1310)),"")</f>
        <v>Home - PortCastelló</v>
      </c>
      <c r="C1315" s="114" t="str" cm="1">
        <f t="array" ref="C1315">IFERROR(INDEX('03.Muestra'!$F$8:$F$42,SMALL(IF("Página Web"='03.Muestra'!$D$8:$D$42,ROW('03.Muestra'!$F$8:$F$42)-MIN(ROW('03.Muestra'!$D$8:$D$42))+1,""),ROW()-1310)),"")</f>
        <v>https://www.portcastello.com/</v>
      </c>
      <c r="D1315" s="130" t="s">
        <v>37</v>
      </c>
      <c r="E1315" s="107" t="str">
        <f t="shared" si="68"/>
        <v/>
      </c>
      <c r="G1315" s="19"/>
      <c r="H1315" s="19"/>
      <c r="I1315" s="19"/>
      <c r="J1315" s="19"/>
      <c r="K1315" s="233"/>
      <c r="L1315" s="19"/>
    </row>
    <row r="1316" spans="1:12" ht="12" customHeight="1">
      <c r="A1316" s="219" t="n" cm="1">
        <f t="array" ref="A1316">IFERROR(INDEX('03.Muestra'!$B$8:$B$42,SMALL(IF("Página Web"='03.Muestra'!$D$8:$D$42,ROW('03.Muestra'!$B$8:$B$42)-MIN(ROW('03.Muestra'!$D$8:$D$42))+1,""),ROW()-1310)),"")</f>
        <v>1.0</v>
      </c>
      <c r="B1316" s="114" t="str" cm="1">
        <f t="array" ref="B1316">IFERROR(INDEX('03.Muestra'!$C$8:$C$42,SMALL(IF("Página Web"='03.Muestra'!$D$8:$D$42,ROW('03.Muestra'!$C$8:$C$42)-MIN(ROW('03.Muestra'!$D$8:$D$42))+1,""),ROW()-1310)),"")</f>
        <v>Home - PortCastelló</v>
      </c>
      <c r="C1316" s="114" t="str" cm="1">
        <f t="array" ref="C1316">IFERROR(INDEX('03.Muestra'!$F$8:$F$42,SMALL(IF("Página Web"='03.Muestra'!$D$8:$D$42,ROW('03.Muestra'!$F$8:$F$42)-MIN(ROW('03.Muestra'!$D$8:$D$42))+1,""),ROW()-1310)),"")</f>
        <v>https://www.portcastello.com/</v>
      </c>
      <c r="D1316" s="130" t="s">
        <v>37</v>
      </c>
      <c r="E1316" s="107" t="str">
        <f t="shared" si="68"/>
        <v/>
      </c>
      <c r="G1316" s="19"/>
      <c r="H1316" s="19"/>
      <c r="I1316" s="19"/>
      <c r="J1316" s="19"/>
      <c r="K1316" s="233"/>
      <c r="L1316" s="19"/>
    </row>
    <row r="1317" spans="1:12" ht="12" customHeight="1">
      <c r="A1317" s="219" t="n" cm="1">
        <f t="array" ref="A1317">IFERROR(INDEX('03.Muestra'!$B$8:$B$42,SMALL(IF("Página Web"='03.Muestra'!$D$8:$D$42,ROW('03.Muestra'!$B$8:$B$42)-MIN(ROW('03.Muestra'!$D$8:$D$42))+1,""),ROW()-1310)),"")</f>
        <v>1.0</v>
      </c>
      <c r="B1317" s="114" t="str" cm="1">
        <f t="array" ref="B1317">IFERROR(INDEX('03.Muestra'!$C$8:$C$42,SMALL(IF("Página Web"='03.Muestra'!$D$8:$D$42,ROW('03.Muestra'!$C$8:$C$42)-MIN(ROW('03.Muestra'!$D$8:$D$42))+1,""),ROW()-1310)),"")</f>
        <v>Home - PortCastelló</v>
      </c>
      <c r="C1317" s="114" t="str" cm="1">
        <f t="array" ref="C1317">IFERROR(INDEX('03.Muestra'!$F$8:$F$42,SMALL(IF("Página Web"='03.Muestra'!$D$8:$D$42,ROW('03.Muestra'!$F$8:$F$42)-MIN(ROW('03.Muestra'!$D$8:$D$42))+1,""),ROW()-1310)),"")</f>
        <v>https://www.portcastello.com/</v>
      </c>
      <c r="D1317" s="130" t="s">
        <v>37</v>
      </c>
      <c r="E1317" s="107" t="str">
        <f t="shared" si="68"/>
        <v/>
      </c>
      <c r="F1317" s="19"/>
      <c r="G1317" s="19"/>
      <c r="H1317" s="19"/>
      <c r="I1317" s="19"/>
      <c r="J1317" s="19"/>
      <c r="K1317" s="233"/>
      <c r="L1317" s="19"/>
    </row>
    <row r="1318" spans="1:12" ht="12" customHeight="1">
      <c r="A1318" s="219" t="n" cm="1">
        <f t="array" ref="A1318">IFERROR(INDEX('03.Muestra'!$B$8:$B$42,SMALL(IF("Página Web"='03.Muestra'!$D$8:$D$42,ROW('03.Muestra'!$B$8:$B$42)-MIN(ROW('03.Muestra'!$D$8:$D$42))+1,""),ROW()-1310)),"")</f>
        <v>1.0</v>
      </c>
      <c r="B1318" s="114" t="str" cm="1">
        <f t="array" ref="B1318">IFERROR(INDEX('03.Muestra'!$C$8:$C$42,SMALL(IF("Página Web"='03.Muestra'!$D$8:$D$42,ROW('03.Muestra'!$C$8:$C$42)-MIN(ROW('03.Muestra'!$D$8:$D$42))+1,""),ROW()-1310)),"")</f>
        <v>Home - PortCastelló</v>
      </c>
      <c r="C1318" s="114" t="str" cm="1">
        <f t="array" ref="C1318">IFERROR(INDEX('03.Muestra'!$F$8:$F$42,SMALL(IF("Página Web"='03.Muestra'!$D$8:$D$42,ROW('03.Muestra'!$F$8:$F$42)-MIN(ROW('03.Muestra'!$D$8:$D$42))+1,""),ROW()-1310)),"")</f>
        <v>https://www.portcastello.com/</v>
      </c>
      <c r="D1318" s="130" t="s">
        <v>37</v>
      </c>
      <c r="E1318" s="107" t="str">
        <f t="shared" si="68"/>
        <v/>
      </c>
      <c r="F1318" s="19"/>
      <c r="G1318" s="19"/>
      <c r="H1318" s="19"/>
      <c r="I1318" s="19"/>
      <c r="J1318" s="19"/>
      <c r="K1318" s="233"/>
      <c r="L1318" s="19"/>
    </row>
    <row r="1319" spans="1:12" ht="12" customHeight="1">
      <c r="A1319" s="219" t="n" cm="1">
        <f t="array" ref="A1319">IFERROR(INDEX('03.Muestra'!$B$8:$B$42,SMALL(IF("Página Web"='03.Muestra'!$D$8:$D$42,ROW('03.Muestra'!$B$8:$B$42)-MIN(ROW('03.Muestra'!$D$8:$D$42))+1,""),ROW()-1310)),"")</f>
        <v>1.0</v>
      </c>
      <c r="B1319" s="114" t="str" cm="1">
        <f t="array" ref="B1319">IFERROR(INDEX('03.Muestra'!$C$8:$C$42,SMALL(IF("Página Web"='03.Muestra'!$D$8:$D$42,ROW('03.Muestra'!$C$8:$C$42)-MIN(ROW('03.Muestra'!$D$8:$D$42))+1,""),ROW()-1310)),"")</f>
        <v>Home - PortCastelló</v>
      </c>
      <c r="C1319" s="114" t="str" cm="1">
        <f t="array" ref="C1319">IFERROR(INDEX('03.Muestra'!$F$8:$F$42,SMALL(IF("Página Web"='03.Muestra'!$D$8:$D$42,ROW('03.Muestra'!$F$8:$F$42)-MIN(ROW('03.Muestra'!$D$8:$D$42))+1,""),ROW()-1310)),"")</f>
        <v>https://www.portcastello.com/</v>
      </c>
      <c r="D1319" s="130" t="s">
        <v>37</v>
      </c>
      <c r="E1319" s="107" t="str">
        <f t="shared" si="68"/>
        <v/>
      </c>
      <c r="F1319" s="19"/>
      <c r="G1319" s="19"/>
      <c r="H1319" s="19"/>
      <c r="I1319" s="19"/>
      <c r="J1319" s="19"/>
      <c r="K1319" s="233"/>
      <c r="L1319" s="19"/>
    </row>
    <row r="1320" spans="1:12" ht="12" customHeight="1">
      <c r="A1320" s="219" t="n"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Home - PortCastelló</v>
      </c>
      <c r="C1320" s="114" t="str" cm="1">
        <f t="array" ref="C1320">IFERROR(INDEX('03.Muestra'!$F$8:$F$42,SMALL(IF("Página Web"='03.Muestra'!$D$8:$D$42,ROW('03.Muestra'!$F$8:$F$42)-MIN(ROW('03.Muestra'!$D$8:$D$42))+1,""),ROW()-1310)),"")</f>
        <v>https://www.portcastello.com/</v>
      </c>
      <c r="D1320" s="130" t="s">
        <v>37</v>
      </c>
      <c r="E1320" s="107" t="str">
        <f t="shared" si="68"/>
        <v/>
      </c>
      <c r="F1320" s="19"/>
      <c r="G1320" s="19"/>
      <c r="H1320" s="19"/>
      <c r="I1320" s="19"/>
      <c r="J1320" s="19"/>
      <c r="K1320" s="233"/>
      <c r="L1320" s="19"/>
    </row>
    <row r="1321" spans="1:12" ht="12" customHeight="1">
      <c r="A1321" s="219" t="n" cm="1">
        <f t="array" ref="A1321">IFERROR(INDEX('03.Muestra'!$B$8:$B$42,SMALL(IF("Página Web"='03.Muestra'!$D$8:$D$42,ROW('03.Muestra'!$B$8:$B$42)-MIN(ROW('03.Muestra'!$D$8:$D$42))+1,""),ROW()-1310)),"")</f>
        <v>1.0</v>
      </c>
      <c r="B1321" s="114" t="str" cm="1">
        <f t="array" ref="B1321">IFERROR(INDEX('03.Muestra'!$C$8:$C$42,SMALL(IF("Página Web"='03.Muestra'!$D$8:$D$42,ROW('03.Muestra'!$C$8:$C$42)-MIN(ROW('03.Muestra'!$D$8:$D$42))+1,""),ROW()-1310)),"")</f>
        <v>Home - PortCastelló</v>
      </c>
      <c r="C1321" s="114" t="str" cm="1">
        <f t="array" ref="C1321">IFERROR(INDEX('03.Muestra'!$F$8:$F$42,SMALL(IF("Página Web"='03.Muestra'!$D$8:$D$42,ROW('03.Muestra'!$F$8:$F$42)-MIN(ROW('03.Muestra'!$D$8:$D$42))+1,""),ROW()-1310)),"")</f>
        <v>https://www.portcastello.com/</v>
      </c>
      <c r="D1321" s="130" t="s">
        <v>37</v>
      </c>
      <c r="E1321" s="107" t="str">
        <f t="shared" si="68"/>
        <v/>
      </c>
      <c r="F1321" s="19"/>
      <c r="G1321" s="19"/>
      <c r="H1321" s="19"/>
      <c r="I1321" s="19"/>
      <c r="J1321" s="19"/>
      <c r="K1321" s="233"/>
      <c r="L1321" s="19"/>
    </row>
    <row r="1322" spans="1:12" ht="12" customHeight="1">
      <c r="A1322" s="219" t="n" cm="1">
        <f t="array" ref="A1322">IFERROR(INDEX('03.Muestra'!$B$8:$B$42,SMALL(IF("Página Web"='03.Muestra'!$D$8:$D$42,ROW('03.Muestra'!$B$8:$B$42)-MIN(ROW('03.Muestra'!$D$8:$D$42))+1,""),ROW()-1310)),"")</f>
        <v>1.0</v>
      </c>
      <c r="B1322" s="114" t="str" cm="1">
        <f t="array" ref="B1322">IFERROR(INDEX('03.Muestra'!$C$8:$C$42,SMALL(IF("Página Web"='03.Muestra'!$D$8:$D$42,ROW('03.Muestra'!$C$8:$C$42)-MIN(ROW('03.Muestra'!$D$8:$D$42))+1,""),ROW()-1310)),"")</f>
        <v>Home - PortCastelló</v>
      </c>
      <c r="C1322" s="114" t="str" cm="1">
        <f t="array" ref="C1322">IFERROR(INDEX('03.Muestra'!$F$8:$F$42,SMALL(IF("Página Web"='03.Muestra'!$D$8:$D$42,ROW('03.Muestra'!$F$8:$F$42)-MIN(ROW('03.Muestra'!$D$8:$D$42))+1,""),ROW()-1310)),"")</f>
        <v>https://www.portcastello.com/</v>
      </c>
      <c r="D1322" s="130" t="s">
        <v>37</v>
      </c>
      <c r="E1322" s="107" t="str">
        <f t="shared" si="68"/>
        <v/>
      </c>
      <c r="F1322" s="19"/>
      <c r="G1322" s="19"/>
      <c r="H1322" s="19"/>
      <c r="I1322" s="19"/>
      <c r="J1322" s="19"/>
      <c r="K1322" s="233"/>
      <c r="L1322" s="19"/>
    </row>
    <row r="1323" spans="1:12" ht="12" customHeight="1">
      <c r="A1323" s="219" t="n" cm="1">
        <f t="array" ref="A1323">IFERROR(INDEX('03.Muestra'!$B$8:$B$42,SMALL(IF("Página Web"='03.Muestra'!$D$8:$D$42,ROW('03.Muestra'!$B$8:$B$42)-MIN(ROW('03.Muestra'!$D$8:$D$42))+1,""),ROW()-1310)),"")</f>
        <v>1.0</v>
      </c>
      <c r="B1323" s="114" t="str" cm="1">
        <f t="array" ref="B1323">IFERROR(INDEX('03.Muestra'!$C$8:$C$42,SMALL(IF("Página Web"='03.Muestra'!$D$8:$D$42,ROW('03.Muestra'!$C$8:$C$42)-MIN(ROW('03.Muestra'!$D$8:$D$42))+1,""),ROW()-1310)),"")</f>
        <v>Home - PortCastelló</v>
      </c>
      <c r="C1323" s="114" t="str" cm="1">
        <f t="array" ref="C1323">IFERROR(INDEX('03.Muestra'!$F$8:$F$42,SMALL(IF("Página Web"='03.Muestra'!$D$8:$D$42,ROW('03.Muestra'!$F$8:$F$42)-MIN(ROW('03.Muestra'!$D$8:$D$42))+1,""),ROW()-1310)),"")</f>
        <v>https://www.portcastello.com/</v>
      </c>
      <c r="D1323" s="130" t="s">
        <v>37</v>
      </c>
      <c r="E1323" s="107" t="str">
        <f t="shared" si="68"/>
        <v/>
      </c>
      <c r="F1323" s="19"/>
      <c r="G1323" s="19"/>
      <c r="H1323" s="19"/>
      <c r="I1323" s="19"/>
      <c r="J1323" s="19"/>
      <c r="K1323" s="233"/>
      <c r="L1323" s="19"/>
    </row>
    <row r="1324" spans="1:12" ht="12" customHeight="1">
      <c r="A1324" s="219" t="n" cm="1">
        <f t="array" ref="A1324">IFERROR(INDEX('03.Muestra'!$B$8:$B$42,SMALL(IF("Página Web"='03.Muestra'!$D$8:$D$42,ROW('03.Muestra'!$B$8:$B$42)-MIN(ROW('03.Muestra'!$D$8:$D$42))+1,""),ROW()-1310)),"")</f>
        <v>1.0</v>
      </c>
      <c r="B1324" s="114" t="str" cm="1">
        <f t="array" ref="B1324">IFERROR(INDEX('03.Muestra'!$C$8:$C$42,SMALL(IF("Página Web"='03.Muestra'!$D$8:$D$42,ROW('03.Muestra'!$C$8:$C$42)-MIN(ROW('03.Muestra'!$D$8:$D$42))+1,""),ROW()-1310)),"")</f>
        <v>Home - PortCastelló</v>
      </c>
      <c r="C1324" s="114" t="str" cm="1">
        <f t="array" ref="C1324">IFERROR(INDEX('03.Muestra'!$F$8:$F$42,SMALL(IF("Página Web"='03.Muestra'!$D$8:$D$42,ROW('03.Muestra'!$F$8:$F$42)-MIN(ROW('03.Muestra'!$D$8:$D$42))+1,""),ROW()-1310)),"")</f>
        <v>https://www.portcastello.com/</v>
      </c>
      <c r="D1324" s="130" t="s">
        <v>37</v>
      </c>
      <c r="E1324" s="107" t="str">
        <f t="shared" si="68"/>
        <v/>
      </c>
      <c r="F1324" s="19"/>
      <c r="G1324" s="19"/>
      <c r="H1324" s="19"/>
      <c r="I1324" s="19"/>
      <c r="J1324" s="19"/>
      <c r="K1324" s="233"/>
      <c r="L1324" s="19"/>
    </row>
    <row r="1325" spans="1:12" ht="12" customHeight="1">
      <c r="A1325" s="219" t="n" cm="1">
        <f t="array" ref="A1325">IFERROR(INDEX('03.Muestra'!$B$8:$B$42,SMALL(IF("Página Web"='03.Muestra'!$D$8:$D$42,ROW('03.Muestra'!$B$8:$B$42)-MIN(ROW('03.Muestra'!$D$8:$D$42))+1,""),ROW()-1310)),"")</f>
        <v>1.0</v>
      </c>
      <c r="B1325" s="114" t="str" cm="1">
        <f t="array" ref="B1325">IFERROR(INDEX('03.Muestra'!$C$8:$C$42,SMALL(IF("Página Web"='03.Muestra'!$D$8:$D$42,ROW('03.Muestra'!$C$8:$C$42)-MIN(ROW('03.Muestra'!$D$8:$D$42))+1,""),ROW()-1310)),"")</f>
        <v>Home - PortCastelló</v>
      </c>
      <c r="C1325" s="114" t="str" cm="1">
        <f t="array" ref="C1325">IFERROR(INDEX('03.Muestra'!$F$8:$F$42,SMALL(IF("Página Web"='03.Muestra'!$D$8:$D$42,ROW('03.Muestra'!$F$8:$F$42)-MIN(ROW('03.Muestra'!$D$8:$D$42))+1,""),ROW()-1310)),"")</f>
        <v>https://www.portcastello.com/</v>
      </c>
      <c r="D1325" s="130" t="s">
        <v>37</v>
      </c>
      <c r="E1325" s="107" t="str">
        <f t="shared" si="68"/>
        <v/>
      </c>
      <c r="F1325" s="19"/>
      <c r="G1325" s="19"/>
      <c r="H1325" s="19"/>
      <c r="I1325" s="19"/>
      <c r="J1325" s="19"/>
      <c r="K1325" s="233"/>
      <c r="L1325" s="19"/>
    </row>
    <row r="1326" spans="1:12" ht="12" customHeight="1">
      <c r="A1326" s="219" t="n" cm="1">
        <f t="array" ref="A1326">IFERROR(INDEX('03.Muestra'!$B$8:$B$42,SMALL(IF("Página Web"='03.Muestra'!$D$8:$D$42,ROW('03.Muestra'!$B$8:$B$42)-MIN(ROW('03.Muestra'!$D$8:$D$42))+1,""),ROW()-1310)),"")</f>
        <v>1.0</v>
      </c>
      <c r="B1326" s="114" t="str" cm="1">
        <f t="array" ref="B1326">IFERROR(INDEX('03.Muestra'!$C$8:$C$42,SMALL(IF("Página Web"='03.Muestra'!$D$8:$D$42,ROW('03.Muestra'!$C$8:$C$42)-MIN(ROW('03.Muestra'!$D$8:$D$42))+1,""),ROW()-1310)),"")</f>
        <v>Home - PortCastelló</v>
      </c>
      <c r="C1326" s="114" t="str" cm="1">
        <f t="array" ref="C1326">IFERROR(INDEX('03.Muestra'!$F$8:$F$42,SMALL(IF("Página Web"='03.Muestra'!$D$8:$D$42,ROW('03.Muestra'!$F$8:$F$42)-MIN(ROW('03.Muestra'!$D$8:$D$42))+1,""),ROW()-1310)),"")</f>
        <v>https://www.portcastello.com/</v>
      </c>
      <c r="D1326" s="130" t="s">
        <v>37</v>
      </c>
      <c r="E1326" s="107" t="str">
        <f t="shared" si="68"/>
        <v/>
      </c>
      <c r="F1326" s="19"/>
      <c r="G1326" s="19"/>
      <c r="H1326" s="19"/>
      <c r="I1326" s="19"/>
      <c r="J1326" s="19"/>
      <c r="K1326" s="233"/>
      <c r="L1326" s="19"/>
    </row>
    <row r="1327" spans="1:12" ht="12" customHeight="1">
      <c r="A1327" s="219" t="n" cm="1">
        <f t="array" ref="A1327">IFERROR(INDEX('03.Muestra'!$B$8:$B$42,SMALL(IF("Página Web"='03.Muestra'!$D$8:$D$42,ROW('03.Muestra'!$B$8:$B$42)-MIN(ROW('03.Muestra'!$D$8:$D$42))+1,""),ROW()-1310)),"")</f>
        <v>1.0</v>
      </c>
      <c r="B1327" s="114" t="str" cm="1">
        <f t="array" ref="B1327">IFERROR(INDEX('03.Muestra'!$C$8:$C$42,SMALL(IF("Página Web"='03.Muestra'!$D$8:$D$42,ROW('03.Muestra'!$C$8:$C$42)-MIN(ROW('03.Muestra'!$D$8:$D$42))+1,""),ROW()-1310)),"")</f>
        <v>Home - PortCastelló</v>
      </c>
      <c r="C1327" s="114" t="str" cm="1">
        <f t="array" ref="C1327">IFERROR(INDEX('03.Muestra'!$F$8:$F$42,SMALL(IF("Página Web"='03.Muestra'!$D$8:$D$42,ROW('03.Muestra'!$F$8:$F$42)-MIN(ROW('03.Muestra'!$D$8:$D$42))+1,""),ROW()-1310)),"")</f>
        <v>https://www.portcastello.com/</v>
      </c>
      <c r="D1327" s="130" t="s">
        <v>37</v>
      </c>
      <c r="E1327" s="107" t="str">
        <f t="shared" si="68"/>
        <v/>
      </c>
      <c r="F1327" s="19"/>
      <c r="G1327" s="19"/>
      <c r="H1327" s="19"/>
      <c r="I1327" s="19"/>
      <c r="J1327" s="19"/>
      <c r="K1327" s="233"/>
      <c r="L1327" s="19"/>
    </row>
    <row r="1328" spans="1:12" ht="12" customHeight="1">
      <c r="A1328" s="219" t="n" cm="1">
        <f t="array" ref="A1328">IFERROR(INDEX('03.Muestra'!$B$8:$B$42,SMALL(IF("Página Web"='03.Muestra'!$D$8:$D$42,ROW('03.Muestra'!$B$8:$B$42)-MIN(ROW('03.Muestra'!$D$8:$D$42))+1,""),ROW()-1310)),"")</f>
        <v>1.0</v>
      </c>
      <c r="B1328" s="114" t="str" cm="1">
        <f t="array" ref="B1328">IFERROR(INDEX('03.Muestra'!$C$8:$C$42,SMALL(IF("Página Web"='03.Muestra'!$D$8:$D$42,ROW('03.Muestra'!$C$8:$C$42)-MIN(ROW('03.Muestra'!$D$8:$D$42))+1,""),ROW()-1310)),"")</f>
        <v>Home - PortCastelló</v>
      </c>
      <c r="C1328" s="114" t="str" cm="1">
        <f t="array" ref="C1328">IFERROR(INDEX('03.Muestra'!$F$8:$F$42,SMALL(IF("Página Web"='03.Muestra'!$D$8:$D$42,ROW('03.Muestra'!$F$8:$F$42)-MIN(ROW('03.Muestra'!$D$8:$D$42))+1,""),ROW()-1310)),"")</f>
        <v>https://www.portcastello.com/</v>
      </c>
      <c r="D1328" s="130" t="s">
        <v>37</v>
      </c>
      <c r="E1328" s="107" t="str">
        <f t="shared" si="68"/>
        <v/>
      </c>
      <c r="F1328" s="19"/>
      <c r="G1328" s="19"/>
      <c r="H1328" s="19"/>
      <c r="I1328" s="19"/>
      <c r="J1328" s="19"/>
      <c r="K1328" s="233"/>
      <c r="L1328" s="19"/>
    </row>
    <row r="1329" spans="1:12" ht="12" customHeight="1">
      <c r="A1329" s="219" t="n" cm="1">
        <f t="array" ref="A1329">IFERROR(INDEX('03.Muestra'!$B$8:$B$42,SMALL(IF("Página Web"='03.Muestra'!$D$8:$D$42,ROW('03.Muestra'!$B$8:$B$42)-MIN(ROW('03.Muestra'!$D$8:$D$42))+1,""),ROW()-1310)),"")</f>
        <v>1.0</v>
      </c>
      <c r="B1329" s="114" t="str" cm="1">
        <f t="array" ref="B1329">IFERROR(INDEX('03.Muestra'!$C$8:$C$42,SMALL(IF("Página Web"='03.Muestra'!$D$8:$D$42,ROW('03.Muestra'!$C$8:$C$42)-MIN(ROW('03.Muestra'!$D$8:$D$42))+1,""),ROW()-1310)),"")</f>
        <v>Home - PortCastelló</v>
      </c>
      <c r="C1329" s="114" t="str" cm="1">
        <f t="array" ref="C1329">IFERROR(INDEX('03.Muestra'!$F$8:$F$42,SMALL(IF("Página Web"='03.Muestra'!$D$8:$D$42,ROW('03.Muestra'!$F$8:$F$42)-MIN(ROW('03.Muestra'!$D$8:$D$42))+1,""),ROW()-1310)),"")</f>
        <v>https://www.portcastello.com/</v>
      </c>
      <c r="D1329" s="130" t="s">
        <v>37</v>
      </c>
      <c r="E1329" s="107" t="str">
        <f t="shared" si="68"/>
        <v/>
      </c>
      <c r="F1329" s="19"/>
      <c r="G1329" s="19"/>
      <c r="H1329" s="19"/>
      <c r="I1329" s="19"/>
      <c r="J1329" s="19"/>
      <c r="K1329" s="233"/>
      <c r="L1329" s="19"/>
    </row>
    <row r="1330" spans="1:12" ht="12" customHeight="1">
      <c r="A1330" s="219" t="n" cm="1">
        <f t="array" ref="A1330">IFERROR(INDEX('03.Muestra'!$B$8:$B$42,SMALL(IF("Página Web"='03.Muestra'!$D$8:$D$42,ROW('03.Muestra'!$B$8:$B$42)-MIN(ROW('03.Muestra'!$D$8:$D$42))+1,""),ROW()-1310)),"")</f>
        <v>1.0</v>
      </c>
      <c r="B1330" s="114" t="str" cm="1">
        <f t="array" ref="B1330">IFERROR(INDEX('03.Muestra'!$C$8:$C$42,SMALL(IF("Página Web"='03.Muestra'!$D$8:$D$42,ROW('03.Muestra'!$C$8:$C$42)-MIN(ROW('03.Muestra'!$D$8:$D$42))+1,""),ROW()-1310)),"")</f>
        <v>Home - PortCastelló</v>
      </c>
      <c r="C1330" s="114" t="str" cm="1">
        <f t="array" ref="C1330">IFERROR(INDEX('03.Muestra'!$F$8:$F$42,SMALL(IF("Página Web"='03.Muestra'!$D$8:$D$42,ROW('03.Muestra'!$F$8:$F$42)-MIN(ROW('03.Muestra'!$D$8:$D$42))+1,""),ROW()-1310)),"")</f>
        <v>https://www.portcastello.com/</v>
      </c>
      <c r="D1330" s="130" t="s">
        <v>37</v>
      </c>
      <c r="E1330" s="107" t="str">
        <f t="shared" si="68"/>
        <v/>
      </c>
      <c r="F1330" s="19"/>
      <c r="G1330" s="19"/>
      <c r="H1330" s="19"/>
      <c r="I1330" s="19"/>
      <c r="J1330" s="19"/>
      <c r="K1330" s="233"/>
      <c r="L1330" s="19"/>
    </row>
    <row r="1331" spans="1:12" ht="12" customHeight="1">
      <c r="A1331" s="219" t="n" cm="1">
        <f t="array" ref="A1331">IFERROR(INDEX('03.Muestra'!$B$8:$B$42,SMALL(IF("Página Web"='03.Muestra'!$D$8:$D$42,ROW('03.Muestra'!$B$8:$B$42)-MIN(ROW('03.Muestra'!$D$8:$D$42))+1,""),ROW()-1310)),"")</f>
        <v>1.0</v>
      </c>
      <c r="B1331" s="114" t="str" cm="1">
        <f t="array" ref="B1331">IFERROR(INDEX('03.Muestra'!$C$8:$C$42,SMALL(IF("Página Web"='03.Muestra'!$D$8:$D$42,ROW('03.Muestra'!$C$8:$C$42)-MIN(ROW('03.Muestra'!$D$8:$D$42))+1,""),ROW()-1310)),"")</f>
        <v>Home - PortCastelló</v>
      </c>
      <c r="C1331" s="114" t="str" cm="1">
        <f t="array" ref="C1331">IFERROR(INDEX('03.Muestra'!$F$8:$F$42,SMALL(IF("Página Web"='03.Muestra'!$D$8:$D$42,ROW('03.Muestra'!$F$8:$F$42)-MIN(ROW('03.Muestra'!$D$8:$D$42))+1,""),ROW()-1310)),"")</f>
        <v>https://www.portcastello.com/</v>
      </c>
      <c r="D1331" s="130" t="s">
        <v>37</v>
      </c>
      <c r="E1331" s="107" t="str">
        <f t="shared" si="68"/>
        <v/>
      </c>
      <c r="F1331" s="19"/>
      <c r="G1331" s="19"/>
      <c r="H1331" s="19"/>
      <c r="I1331" s="19"/>
      <c r="J1331" s="19"/>
      <c r="K1331" s="233"/>
      <c r="L1331" s="19"/>
    </row>
    <row r="1332" spans="1:12" ht="12" customHeight="1">
      <c r="A1332" s="219" t="n" cm="1">
        <f t="array" ref="A1332">IFERROR(INDEX('03.Muestra'!$B$8:$B$42,SMALL(IF("Página Web"='03.Muestra'!$D$8:$D$42,ROW('03.Muestra'!$B$8:$B$42)-MIN(ROW('03.Muestra'!$D$8:$D$42))+1,""),ROW()-1310)),"")</f>
        <v>1.0</v>
      </c>
      <c r="B1332" s="114" t="str" cm="1">
        <f t="array" ref="B1332">IFERROR(INDEX('03.Muestra'!$C$8:$C$42,SMALL(IF("Página Web"='03.Muestra'!$D$8:$D$42,ROW('03.Muestra'!$C$8:$C$42)-MIN(ROW('03.Muestra'!$D$8:$D$42))+1,""),ROW()-1310)),"")</f>
        <v>Home - PortCastelló</v>
      </c>
      <c r="C1332" s="114" t="str" cm="1">
        <f t="array" ref="C1332">IFERROR(INDEX('03.Muestra'!$F$8:$F$42,SMALL(IF("Página Web"='03.Muestra'!$D$8:$D$42,ROW('03.Muestra'!$F$8:$F$42)-MIN(ROW('03.Muestra'!$D$8:$D$42))+1,""),ROW()-1310)),"")</f>
        <v>https://www.portcastello.com/</v>
      </c>
      <c r="D1332" s="130" t="s">
        <v>37</v>
      </c>
      <c r="E1332" s="107" t="str">
        <f t="shared" si="68"/>
        <v/>
      </c>
      <c r="F1332" s="19"/>
      <c r="G1332" s="19"/>
      <c r="H1332" s="19"/>
      <c r="I1332" s="19"/>
      <c r="J1332" s="19"/>
      <c r="K1332" s="233"/>
      <c r="L1332" s="19"/>
    </row>
    <row r="1333" spans="1:12" ht="12" customHeight="1">
      <c r="A1333" s="219" t="n" cm="1">
        <f t="array" ref="A1333">IFERROR(INDEX('03.Muestra'!$B$8:$B$42,SMALL(IF("Página Web"='03.Muestra'!$D$8:$D$42,ROW('03.Muestra'!$B$8:$B$42)-MIN(ROW('03.Muestra'!$D$8:$D$42))+1,""),ROW()-1310)),"")</f>
        <v>1.0</v>
      </c>
      <c r="B1333" s="114" t="str" cm="1">
        <f t="array" ref="B1333">IFERROR(INDEX('03.Muestra'!$C$8:$C$42,SMALL(IF("Página Web"='03.Muestra'!$D$8:$D$42,ROW('03.Muestra'!$C$8:$C$42)-MIN(ROW('03.Muestra'!$D$8:$D$42))+1,""),ROW()-1310)),"")</f>
        <v>Home - PortCastelló</v>
      </c>
      <c r="C1333" s="114" t="str" cm="1">
        <f t="array" ref="C1333">IFERROR(INDEX('03.Muestra'!$F$8:$F$42,SMALL(IF("Página Web"='03.Muestra'!$D$8:$D$42,ROW('03.Muestra'!$F$8:$F$42)-MIN(ROW('03.Muestra'!$D$8:$D$42))+1,""),ROW()-1310)),"")</f>
        <v>https://www.portcastello.com/</v>
      </c>
      <c r="D1333" s="130" t="s">
        <v>37</v>
      </c>
      <c r="E1333" s="107" t="str">
        <f t="shared" si="68"/>
        <v/>
      </c>
      <c r="F1333" s="19"/>
      <c r="G1333" s="19"/>
      <c r="H1333" s="19"/>
      <c r="I1333" s="19"/>
      <c r="J1333" s="19"/>
      <c r="K1333" s="233"/>
      <c r="L1333" s="19"/>
    </row>
    <row r="1334" spans="1:12" ht="12" customHeight="1">
      <c r="A1334" s="219" t="n" cm="1">
        <f t="array" ref="A1334">IFERROR(INDEX('03.Muestra'!$B$8:$B$42,SMALL(IF("Página Web"='03.Muestra'!$D$8:$D$42,ROW('03.Muestra'!$B$8:$B$42)-MIN(ROW('03.Muestra'!$D$8:$D$42))+1,""),ROW()-1310)),"")</f>
        <v>1.0</v>
      </c>
      <c r="B1334" s="114" t="str" cm="1">
        <f t="array" ref="B1334">IFERROR(INDEX('03.Muestra'!$C$8:$C$42,SMALL(IF("Página Web"='03.Muestra'!$D$8:$D$42,ROW('03.Muestra'!$C$8:$C$42)-MIN(ROW('03.Muestra'!$D$8:$D$42))+1,""),ROW()-1310)),"")</f>
        <v>Home - PortCastelló</v>
      </c>
      <c r="C1334" s="114" t="str" cm="1">
        <f t="array" ref="C1334">IFERROR(INDEX('03.Muestra'!$F$8:$F$42,SMALL(IF("Página Web"='03.Muestra'!$D$8:$D$42,ROW('03.Muestra'!$F$8:$F$42)-MIN(ROW('03.Muestra'!$D$8:$D$42))+1,""),ROW()-1310)),"")</f>
        <v>https://www.portcastello.com/</v>
      </c>
      <c r="D1334" s="130" t="s">
        <v>37</v>
      </c>
      <c r="E1334" s="107" t="str">
        <f t="shared" si="68"/>
        <v/>
      </c>
      <c r="F1334" s="19"/>
      <c r="G1334" s="19"/>
      <c r="H1334" s="19"/>
      <c r="I1334" s="19"/>
      <c r="J1334" s="19"/>
      <c r="K1334" s="233"/>
      <c r="L1334" s="19"/>
    </row>
    <row r="1335" spans="1:12" ht="12" customHeight="1">
      <c r="A1335" s="219" t="n" cm="1">
        <f t="array" ref="A1335">IFERROR(INDEX('03.Muestra'!$B$8:$B$42,SMALL(IF("Página Web"='03.Muestra'!$D$8:$D$42,ROW('03.Muestra'!$B$8:$B$42)-MIN(ROW('03.Muestra'!$D$8:$D$42))+1,""),ROW()-1310)),"")</f>
        <v>1.0</v>
      </c>
      <c r="B1335" s="114" t="str" cm="1">
        <f t="array" ref="B1335">IFERROR(INDEX('03.Muestra'!$C$8:$C$42,SMALL(IF("Página Web"='03.Muestra'!$D$8:$D$42,ROW('03.Muestra'!$C$8:$C$42)-MIN(ROW('03.Muestra'!$D$8:$D$42))+1,""),ROW()-1310)),"")</f>
        <v>Home - PortCastelló</v>
      </c>
      <c r="C1335" s="114" t="str" cm="1">
        <f t="array" ref="C1335">IFERROR(INDEX('03.Muestra'!$F$8:$F$42,SMALL(IF("Página Web"='03.Muestra'!$D$8:$D$42,ROW('03.Muestra'!$F$8:$F$42)-MIN(ROW('03.Muestra'!$D$8:$D$42))+1,""),ROW()-1310)),"")</f>
        <v>https://www.portcastello.com/</v>
      </c>
      <c r="D1335" s="130" t="s">
        <v>37</v>
      </c>
      <c r="E1335" s="107" t="str">
        <f t="shared" si="68"/>
        <v/>
      </c>
      <c r="F1335" s="19"/>
      <c r="G1335" s="19"/>
      <c r="H1335" s="19"/>
      <c r="I1335" s="19"/>
      <c r="J1335" s="19"/>
      <c r="K1335" s="233"/>
      <c r="L1335" s="19"/>
    </row>
    <row r="1336" spans="1:12" ht="12" customHeight="1">
      <c r="A1336" s="219" t="n" cm="1">
        <f t="array" ref="A1336">IFERROR(INDEX('03.Muestra'!$B$8:$B$42,SMALL(IF("Página Web"='03.Muestra'!$D$8:$D$42,ROW('03.Muestra'!$B$8:$B$42)-MIN(ROW('03.Muestra'!$D$8:$D$42))+1,""),ROW()-1310)),"")</f>
        <v>1.0</v>
      </c>
      <c r="B1336" s="114" t="str" cm="1">
        <f t="array" ref="B1336">IFERROR(INDEX('03.Muestra'!$C$8:$C$42,SMALL(IF("Página Web"='03.Muestra'!$D$8:$D$42,ROW('03.Muestra'!$C$8:$C$42)-MIN(ROW('03.Muestra'!$D$8:$D$42))+1,""),ROW()-1310)),"")</f>
        <v>Home - PortCastelló</v>
      </c>
      <c r="C1336" s="114" t="str" cm="1">
        <f t="array" ref="C1336">IFERROR(INDEX('03.Muestra'!$F$8:$F$42,SMALL(IF("Página Web"='03.Muestra'!$D$8:$D$42,ROW('03.Muestra'!$F$8:$F$42)-MIN(ROW('03.Muestra'!$D$8:$D$42))+1,""),ROW()-1310)),"")</f>
        <v>https://www.portcastello.com/</v>
      </c>
      <c r="D1336" s="130" t="s">
        <v>37</v>
      </c>
      <c r="E1336" s="107" t="str">
        <f t="shared" si="68"/>
        <v/>
      </c>
      <c r="F1336" s="19"/>
      <c r="G1336" s="19"/>
      <c r="H1336" s="19"/>
      <c r="I1336" s="19"/>
      <c r="J1336" s="19"/>
      <c r="K1336" s="233"/>
      <c r="L1336" s="19"/>
    </row>
    <row r="1337" spans="1:12" ht="12" customHeight="1">
      <c r="A1337" s="219" t="n" cm="1">
        <f t="array" ref="A1337">IFERROR(INDEX('03.Muestra'!$B$8:$B$42,SMALL(IF("Página Web"='03.Muestra'!$D$8:$D$42,ROW('03.Muestra'!$B$8:$B$42)-MIN(ROW('03.Muestra'!$D$8:$D$42))+1,""),ROW()-1310)),"")</f>
        <v>1.0</v>
      </c>
      <c r="B1337" s="114" t="str" cm="1">
        <f t="array" ref="B1337">IFERROR(INDEX('03.Muestra'!$C$8:$C$42,SMALL(IF("Página Web"='03.Muestra'!$D$8:$D$42,ROW('03.Muestra'!$C$8:$C$42)-MIN(ROW('03.Muestra'!$D$8:$D$42))+1,""),ROW()-1310)),"")</f>
        <v>Home - PortCastelló</v>
      </c>
      <c r="C1337" s="114" t="str" cm="1">
        <f t="array" ref="C1337">IFERROR(INDEX('03.Muestra'!$F$8:$F$42,SMALL(IF("Página Web"='03.Muestra'!$D$8:$D$42,ROW('03.Muestra'!$F$8:$F$42)-MIN(ROW('03.Muestra'!$D$8:$D$42))+1,""),ROW()-1310)),"")</f>
        <v>https://www.portcastello.com/</v>
      </c>
      <c r="D1337" s="130" t="s">
        <v>37</v>
      </c>
      <c r="E1337" s="107" t="str">
        <f t="shared" si="68"/>
        <v/>
      </c>
      <c r="F1337" s="19"/>
      <c r="G1337" s="19"/>
      <c r="H1337" s="19"/>
      <c r="I1337" s="19"/>
      <c r="J1337" s="19"/>
      <c r="K1337" s="233"/>
      <c r="L1337" s="19"/>
    </row>
    <row r="1338" spans="1:12" ht="12" customHeight="1">
      <c r="A1338" s="219" t="n" cm="1">
        <f t="array" ref="A1338">IFERROR(INDEX('03.Muestra'!$B$8:$B$42,SMALL(IF("Página Web"='03.Muestra'!$D$8:$D$42,ROW('03.Muestra'!$B$8:$B$42)-MIN(ROW('03.Muestra'!$D$8:$D$42))+1,""),ROW()-1310)),"")</f>
        <v>1.0</v>
      </c>
      <c r="B1338" s="114" t="str" cm="1">
        <f t="array" ref="B1338">IFERROR(INDEX('03.Muestra'!$C$8:$C$42,SMALL(IF("Página Web"='03.Muestra'!$D$8:$D$42,ROW('03.Muestra'!$C$8:$C$42)-MIN(ROW('03.Muestra'!$D$8:$D$42))+1,""),ROW()-1310)),"")</f>
        <v>Home - PortCastelló</v>
      </c>
      <c r="C1338" s="114" t="str" cm="1">
        <f t="array" ref="C1338">IFERROR(INDEX('03.Muestra'!$F$8:$F$42,SMALL(IF("Página Web"='03.Muestra'!$D$8:$D$42,ROW('03.Muestra'!$F$8:$F$42)-MIN(ROW('03.Muestra'!$D$8:$D$42))+1,""),ROW()-1310)),"")</f>
        <v>https://www.portcastello.com/</v>
      </c>
      <c r="D1338" s="130" t="s">
        <v>37</v>
      </c>
      <c r="E1338" s="107" t="str">
        <f t="shared" si="68"/>
        <v/>
      </c>
      <c r="G1338" s="19"/>
      <c r="H1338" s="19"/>
      <c r="I1338" s="19"/>
      <c r="J1338" s="19"/>
      <c r="K1338" s="233"/>
      <c r="L1338" s="19"/>
    </row>
    <row r="1339" spans="1:12" ht="12" customHeight="1">
      <c r="A1339" s="219" t="n" cm="1">
        <f t="array" ref="A1339">IFERROR(INDEX('03.Muestra'!$B$8:$B$42,SMALL(IF("Página Web"='03.Muestra'!$D$8:$D$42,ROW('03.Muestra'!$B$8:$B$42)-MIN(ROW('03.Muestra'!$D$8:$D$42))+1,""),ROW()-1310)),"")</f>
        <v>1.0</v>
      </c>
      <c r="B1339" s="114" t="str" cm="1">
        <f t="array" ref="B1339">IFERROR(INDEX('03.Muestra'!$C$8:$C$42,SMALL(IF("Página Web"='03.Muestra'!$D$8:$D$42,ROW('03.Muestra'!$C$8:$C$42)-MIN(ROW('03.Muestra'!$D$8:$D$42))+1,""),ROW()-1310)),"")</f>
        <v>Home - PortCastelló</v>
      </c>
      <c r="C1339" s="114" t="str" cm="1">
        <f t="array" ref="C1339">IFERROR(INDEX('03.Muestra'!$F$8:$F$42,SMALL(IF("Página Web"='03.Muestra'!$D$8:$D$42,ROW('03.Muestra'!$F$8:$F$42)-MIN(ROW('03.Muestra'!$D$8:$D$42))+1,""),ROW()-1310)),"")</f>
        <v>https://www.portcastello.com/</v>
      </c>
      <c r="D1339" s="130" t="s">
        <v>37</v>
      </c>
      <c r="E1339" s="107" t="str">
        <f t="shared" si="68"/>
        <v/>
      </c>
      <c r="F1339" s="124"/>
      <c r="G1339" s="19"/>
      <c r="H1339" s="19"/>
      <c r="I1339" s="19"/>
      <c r="J1339" s="19"/>
      <c r="K1339" s="233"/>
      <c r="L1339" s="19"/>
    </row>
    <row r="1340" spans="1:12" ht="12" customHeight="1">
      <c r="A1340" s="219" t="n" cm="1">
        <f t="array" ref="A1340">IFERROR(INDEX('03.Muestra'!$B$8:$B$42,SMALL(IF("Página Web"='03.Muestra'!$D$8:$D$42,ROW('03.Muestra'!$B$8:$B$42)-MIN(ROW('03.Muestra'!$D$8:$D$42))+1,""),ROW()-1310)),"")</f>
        <v>1.0</v>
      </c>
      <c r="B1340" s="114" t="str" cm="1">
        <f t="array" ref="B1340">IFERROR(INDEX('03.Muestra'!$C$8:$C$42,SMALL(IF("Página Web"='03.Muestra'!$D$8:$D$42,ROW('03.Muestra'!$C$8:$C$42)-MIN(ROW('03.Muestra'!$D$8:$D$42))+1,""),ROW()-1310)),"")</f>
        <v>Home - PortCastelló</v>
      </c>
      <c r="C1340" s="114" t="str" cm="1">
        <f t="array" ref="C1340">IFERROR(INDEX('03.Muestra'!$F$8:$F$42,SMALL(IF("Página Web"='03.Muestra'!$D$8:$D$42,ROW('03.Muestra'!$F$8:$F$42)-MIN(ROW('03.Muestra'!$D$8:$D$42))+1,""),ROW()-1310)),"")</f>
        <v>https://www.portcastello.com/</v>
      </c>
      <c r="D1340" s="130" t="s">
        <v>37</v>
      </c>
      <c r="E1340" s="107" t="str">
        <f t="shared" si="68"/>
        <v/>
      </c>
      <c r="F1340" s="124"/>
      <c r="G1340" s="19"/>
      <c r="H1340" s="19"/>
      <c r="I1340" s="19"/>
      <c r="J1340" s="19"/>
      <c r="K1340" s="233"/>
      <c r="L1340" s="19"/>
    </row>
    <row r="1341" spans="1:12" ht="12" customHeight="1">
      <c r="A1341" s="219" t="n" cm="1">
        <f t="array" ref="A1341">IFERROR(INDEX('03.Muestra'!$B$8:$B$42,SMALL(IF("Página Web"='03.Muestra'!$D$8:$D$42,ROW('03.Muestra'!$B$8:$B$42)-MIN(ROW('03.Muestra'!$D$8:$D$42))+1,""),ROW()-1310)),"")</f>
        <v>1.0</v>
      </c>
      <c r="B1341" s="114" t="str" cm="1">
        <f t="array" ref="B1341">IFERROR(INDEX('03.Muestra'!$C$8:$C$42,SMALL(IF("Página Web"='03.Muestra'!$D$8:$D$42,ROW('03.Muestra'!$C$8:$C$42)-MIN(ROW('03.Muestra'!$D$8:$D$42))+1,""),ROW()-1310)),"")</f>
        <v>Home - PortCastelló</v>
      </c>
      <c r="C1341" s="114" t="str" cm="1">
        <f t="array" ref="C1341">IFERROR(INDEX('03.Muestra'!$F$8:$F$42,SMALL(IF("Página Web"='03.Muestra'!$D$8:$D$42,ROW('03.Muestra'!$F$8:$F$42)-MIN(ROW('03.Muestra'!$D$8:$D$42))+1,""),ROW()-1310)),"")</f>
        <v>https://www.portcastello.com/</v>
      </c>
      <c r="D1341" s="130" t="s">
        <v>37</v>
      </c>
      <c r="E1341" s="107" t="str">
        <f t="shared" si="68"/>
        <v/>
      </c>
      <c r="F1341" s="124"/>
      <c r="G1341" s="19"/>
      <c r="H1341" s="19"/>
      <c r="I1341" s="19"/>
      <c r="J1341" s="19"/>
      <c r="K1341" s="233"/>
      <c r="L1341" s="19"/>
    </row>
    <row r="1342" spans="1:12" ht="12" customHeight="1">
      <c r="A1342" s="219" t="n" cm="1">
        <f t="array" ref="A1342">IFERROR(INDEX('03.Muestra'!$B$8:$B$42,SMALL(IF("Página Web"='03.Muestra'!$D$8:$D$42,ROW('03.Muestra'!$B$8:$B$42)-MIN(ROW('03.Muestra'!$D$8:$D$42))+1,""),ROW()-1310)),"")</f>
        <v>1.0</v>
      </c>
      <c r="B1342" s="114" t="str" cm="1">
        <f t="array" ref="B1342">IFERROR(INDEX('03.Muestra'!$C$8:$C$42,SMALL(IF("Página Web"='03.Muestra'!$D$8:$D$42,ROW('03.Muestra'!$C$8:$C$42)-MIN(ROW('03.Muestra'!$D$8:$D$42))+1,""),ROW()-1310)),"")</f>
        <v>Home - PortCastelló</v>
      </c>
      <c r="C1342" s="114" t="str" cm="1">
        <f t="array" ref="C1342">IFERROR(INDEX('03.Muestra'!$F$8:$F$42,SMALL(IF("Página Web"='03.Muestra'!$D$8:$D$42,ROW('03.Muestra'!$F$8:$F$42)-MIN(ROW('03.Muestra'!$D$8:$D$42))+1,""),ROW()-1310)),"")</f>
        <v>https://www.portcastello.com/</v>
      </c>
      <c r="D1342" s="130" t="s">
        <v>37</v>
      </c>
      <c r="E1342" s="107" t="str">
        <f t="shared" si="68"/>
        <v/>
      </c>
      <c r="F1342" s="124"/>
      <c r="G1342" s="19"/>
      <c r="H1342" s="19"/>
      <c r="I1342" s="19"/>
      <c r="J1342" s="19"/>
      <c r="K1342" s="233"/>
      <c r="L1342" s="19"/>
    </row>
    <row r="1343" spans="1:12" ht="12" customHeight="1">
      <c r="A1343" s="219" t="n" cm="1">
        <f t="array" ref="A1343">IFERROR(INDEX('03.Muestra'!$B$8:$B$42,SMALL(IF("Página Web"='03.Muestra'!$D$8:$D$42,ROW('03.Muestra'!$B$8:$B$42)-MIN(ROW('03.Muestra'!$D$8:$D$42))+1,""),ROW()-1310)),"")</f>
        <v>1.0</v>
      </c>
      <c r="B1343" s="114" t="str" cm="1">
        <f t="array" ref="B1343">IFERROR(INDEX('03.Muestra'!$C$8:$C$42,SMALL(IF("Página Web"='03.Muestra'!$D$8:$D$42,ROW('03.Muestra'!$C$8:$C$42)-MIN(ROW('03.Muestra'!$D$8:$D$42))+1,""),ROW()-1310)),"")</f>
        <v>Home - PortCastelló</v>
      </c>
      <c r="C1343" s="114" t="str" cm="1">
        <f t="array" ref="C1343">IFERROR(INDEX('03.Muestra'!$F$8:$F$42,SMALL(IF("Página Web"='03.Muestra'!$D$8:$D$42,ROW('03.Muestra'!$F$8:$F$42)-MIN(ROW('03.Muestra'!$D$8:$D$42))+1,""),ROW()-1310)),"")</f>
        <v>https://www.portcastello.com/</v>
      </c>
      <c r="D1343" s="130" t="s">
        <v>37</v>
      </c>
      <c r="E1343" s="107" t="str">
        <f t="shared" si="68"/>
        <v/>
      </c>
      <c r="F1343" s="124"/>
      <c r="G1343" s="19"/>
      <c r="H1343" s="19"/>
      <c r="I1343" s="19"/>
      <c r="J1343" s="19"/>
      <c r="K1343" s="233"/>
      <c r="L1343" s="19"/>
    </row>
    <row r="1344" spans="1:12" ht="12" customHeight="1">
      <c r="A1344" s="219" t="str" cm="1">
        <f t="array" ref="A1344">IFERROR(INDEX('03.Muestra'!$B$8:$B$42,SMALL(IF("Página Web"='03.Muestra'!$D$8:$D$42,ROW('03.Muestra'!$B$8:$B$42)-MIN(ROW('03.Muestra'!$D$8:$D$42))+1,""),ROW()-1310)),"")</f>
        <v/>
      </c>
      <c r="B1344" s="114" t="str" cm="1">
        <f t="array" ref="B1344">IFERROR(INDEX('03.Muestra'!$C$8:$C$42,SMALL(IF("Página Web"='03.Muestra'!$D$8:$D$42,ROW('03.Muestra'!$C$8:$C$42)-MIN(ROW('03.Muestra'!$D$8:$D$42))+1,""),ROW()-1310)),"")</f>
        <v/>
      </c>
      <c r="C1344" s="114" t="str" cm="1">
        <f t="array" ref="C1344">IFERROR(INDEX('03.Muestra'!$F$8:$F$42,SMALL(IF("Página Web"='03.Muestra'!$D$8:$D$42,ROW('03.Muestra'!$F$8:$F$42)-MIN(ROW('03.Muestra'!$D$8:$D$42))+1,""),ROW()-1310)),"")</f>
        <v/>
      </c>
      <c r="D1344" s="130" t="str">
        <f t="shared" si="69" ref="D1344:D1345">IF(AND(B1344&lt;&gt;"",C1344&lt;&gt;""),"N/T","")</f>
        <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268</v>
      </c>
      <c r="B1348" s="24" t="s">
        <v>90</v>
      </c>
      <c r="C1348" s="25" t="s">
        <v>408</v>
      </c>
      <c r="D1348" s="26" t="s">
        <v>32</v>
      </c>
      <c r="E1348" s="123"/>
      <c r="K1348" s="233"/>
      <c r="L1348" s="19"/>
    </row>
    <row r="1349" spans="1:12" ht="12" customHeight="1">
      <c r="A1349" s="219" t="n" cm="1">
        <f t="array" ref="A1349">IFERROR(INDEX('03.Muestra'!$B$8:$B$42,SMALL(IF("Página Web"='03.Muestra'!$D$8:$D$42,ROW('03.Muestra'!$B$8:$B$42)-MIN(ROW('03.Muestra'!$D$8:$D$42))+1,""),ROW()-1348)),"")</f>
        <v>1.0</v>
      </c>
      <c r="B1349" s="114" t="str" cm="1">
        <f t="array" ref="B1349">IFERROR(INDEX('03.Muestra'!$C$8:$C$42,SMALL(IF("Página Web"='03.Muestra'!$D$8:$D$42,ROW('03.Muestra'!$C$8:$C$42)-MIN(ROW('03.Muestra'!$D$8:$D$42))+1,""),ROW()-1348)),"")</f>
        <v>Home - PortCastelló</v>
      </c>
      <c r="C1349" s="114" t="str" cm="1">
        <f t="array" ref="C1349">IFERROR(INDEX('03.Muestra'!$F$8:$F$42,SMALL(IF("Página Web"='03.Muestra'!$D$8:$D$42,ROW('03.Muestra'!$F$8:$F$42)-MIN(ROW('03.Muestra'!$D$8:$D$42))+1,""),ROW()-1348)),"")</f>
        <v>https://www.portcastello.com/</v>
      </c>
      <c r="D1349" s="130" t="str">
        <f>IF(AND(B1349&lt;&gt;"",C1349&lt;&gt;""),"N/T","")</f>
        <v>N/T</v>
      </c>
      <c r="E1349" s="107" t="str">
        <f t="shared" ref="E1349:E1383" si="70">IF(D1349&lt;&gt;"",IF(AND(B1349&lt;&gt;"",C1349&lt;&gt;""),"","ERR"),"")</f>
        <v/>
      </c>
      <c r="F1349" s="115" t="s">
        <v>33</v>
      </c>
      <c r="G1349" s="116" t="s">
        <v>37</v>
      </c>
      <c r="H1349" s="117" t="s">
        <v>35</v>
      </c>
      <c r="I1349" s="118" t="s">
        <v>28</v>
      </c>
      <c r="J1349" s="119" t="s">
        <v>26</v>
      </c>
      <c r="K1349" s="226" t="s">
        <v>474</v>
      </c>
      <c r="L1349" s="19"/>
    </row>
    <row r="1350" spans="1:12" ht="12" customHeight="1">
      <c r="A1350" s="219" t="n" cm="1">
        <f t="array" ref="A1350">IFERROR(INDEX('03.Muestra'!$B$8:$B$42,SMALL(IF("Página Web"='03.Muestra'!$D$8:$D$42,ROW('03.Muestra'!$B$8:$B$42)-MIN(ROW('03.Muestra'!$D$8:$D$42))+1,""),ROW()-1348)),"")</f>
        <v>1.0</v>
      </c>
      <c r="B1350" s="114" t="str" cm="1">
        <f t="array" ref="B1350">IFERROR(INDEX('03.Muestra'!$C$8:$C$42,SMALL(IF("Página Web"='03.Muestra'!$D$8:$D$42,ROW('03.Muestra'!$C$8:$C$42)-MIN(ROW('03.Muestra'!$D$8:$D$42))+1,""),ROW()-1348)),"")</f>
        <v>Home - PortCastelló</v>
      </c>
      <c r="C1350" s="114" t="str" cm="1">
        <f t="array" ref="C1350">IFERROR(INDEX('03.Muestra'!$F$8:$F$42,SMALL(IF("Página Web"='03.Muestra'!$D$8:$D$42,ROW('03.Muestra'!$F$8:$F$42)-MIN(ROW('03.Muestra'!$D$8:$D$42))+1,""),ROW()-1348)),"")</f>
        <v>https://www.portcastello.com/</v>
      </c>
      <c r="D1350" s="130" t="str">
        <f t="shared" ref="D1350:D1383" si="71">IF(AND(B1350&lt;&gt;"",C1350&lt;&gt;""),"N/T","")</f>
        <v>N/T</v>
      </c>
      <c r="E1350" s="107" t="str">
        <f t="shared" si="70"/>
        <v/>
      </c>
      <c r="F1350" s="120" t="n">
        <f ca="1">COUNTIF($D1349:INDIRECT("$D" &amp;  SUM(ROW()-1,'03.Muestra'!$D$45)-1),F1349)</f>
        <v>33.0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IF(COUNTIF('03.Muestra'!$D$8:$D$42,"Página Web")=0,0,COUNTBLANK($D1349:INDIRECT("$D" &amp;  SUM(ROW()-1,COUNTIF('03.Muestra'!$D$8:$D$42,"Página Web"))-1)))</f>
        <v>0.0</v>
      </c>
      <c r="L1350" s="19"/>
    </row>
    <row r="1351" spans="1:12" ht="12" customHeight="1">
      <c r="A1351" s="219" t="n" cm="1">
        <f t="array" ref="A1351">IFERROR(INDEX('03.Muestra'!$B$8:$B$42,SMALL(IF("Página Web"='03.Muestra'!$D$8:$D$42,ROW('03.Muestra'!$B$8:$B$42)-MIN(ROW('03.Muestra'!$D$8:$D$42))+1,""),ROW()-1348)),"")</f>
        <v>1.0</v>
      </c>
      <c r="B1351" s="114" t="str" cm="1">
        <f t="array" ref="B1351">IFERROR(INDEX('03.Muestra'!$C$8:$C$42,SMALL(IF("Página Web"='03.Muestra'!$D$8:$D$42,ROW('03.Muestra'!$C$8:$C$42)-MIN(ROW('03.Muestra'!$D$8:$D$42))+1,""),ROW()-1348)),"")</f>
        <v>Home - PortCastelló</v>
      </c>
      <c r="C1351" s="114" t="str" cm="1">
        <f t="array" ref="C1351">IFERROR(INDEX('03.Muestra'!$F$8:$F$42,SMALL(IF("Página Web"='03.Muestra'!$D$8:$D$42,ROW('03.Muestra'!$F$8:$F$42)-MIN(ROW('03.Muestra'!$D$8:$D$42))+1,""),ROW()-1348)),"")</f>
        <v>https://www.portcastello.com/</v>
      </c>
      <c r="D1351" s="130" t="str">
        <f t="shared" si="71"/>
        <v>N/T</v>
      </c>
      <c r="E1351" s="107" t="str">
        <f t="shared" si="70"/>
        <v/>
      </c>
      <c r="G1351" s="19"/>
      <c r="H1351" s="19"/>
      <c r="I1351" s="19"/>
      <c r="J1351" s="19"/>
      <c r="K1351" s="233"/>
      <c r="L1351" s="19"/>
    </row>
    <row r="1352" spans="1:12" ht="12" customHeight="1">
      <c r="A1352" s="219" t="n" cm="1">
        <f t="array" ref="A1352">IFERROR(INDEX('03.Muestra'!$B$8:$B$42,SMALL(IF("Página Web"='03.Muestra'!$D$8:$D$42,ROW('03.Muestra'!$B$8:$B$42)-MIN(ROW('03.Muestra'!$D$8:$D$42))+1,""),ROW()-1348)),"")</f>
        <v>1.0</v>
      </c>
      <c r="B1352" s="114" t="str" cm="1">
        <f t="array" ref="B1352">IFERROR(INDEX('03.Muestra'!$C$8:$C$42,SMALL(IF("Página Web"='03.Muestra'!$D$8:$D$42,ROW('03.Muestra'!$C$8:$C$42)-MIN(ROW('03.Muestra'!$D$8:$D$42))+1,""),ROW()-1348)),"")</f>
        <v>Home - PortCastelló</v>
      </c>
      <c r="C1352" s="114" t="str" cm="1">
        <f t="array" ref="C1352">IFERROR(INDEX('03.Muestra'!$F$8:$F$42,SMALL(IF("Página Web"='03.Muestra'!$D$8:$D$42,ROW('03.Muestra'!$F$8:$F$42)-MIN(ROW('03.Muestra'!$D$8:$D$42))+1,""),ROW()-1348)),"")</f>
        <v>https://www.portcastello.com/</v>
      </c>
      <c r="D1352" s="130" t="str">
        <f t="shared" si="71"/>
        <v>N/T</v>
      </c>
      <c r="E1352" s="107" t="str">
        <f t="shared" si="70"/>
        <v/>
      </c>
      <c r="G1352" s="19"/>
      <c r="H1352" s="19"/>
      <c r="I1352" s="19"/>
      <c r="J1352" s="19"/>
      <c r="K1352" s="233"/>
      <c r="L1352" s="19"/>
    </row>
    <row r="1353" spans="1:12" ht="12" customHeight="1">
      <c r="A1353" s="219" t="n" cm="1">
        <f t="array" ref="A1353">IFERROR(INDEX('03.Muestra'!$B$8:$B$42,SMALL(IF("Página Web"='03.Muestra'!$D$8:$D$42,ROW('03.Muestra'!$B$8:$B$42)-MIN(ROW('03.Muestra'!$D$8:$D$42))+1,""),ROW()-1348)),"")</f>
        <v>1.0</v>
      </c>
      <c r="B1353" s="114" t="str" cm="1">
        <f t="array" ref="B1353">IFERROR(INDEX('03.Muestra'!$C$8:$C$42,SMALL(IF("Página Web"='03.Muestra'!$D$8:$D$42,ROW('03.Muestra'!$C$8:$C$42)-MIN(ROW('03.Muestra'!$D$8:$D$42))+1,""),ROW()-1348)),"")</f>
        <v>Home - PortCastelló</v>
      </c>
      <c r="C1353" s="114" t="str" cm="1">
        <f t="array" ref="C1353">IFERROR(INDEX('03.Muestra'!$F$8:$F$42,SMALL(IF("Página Web"='03.Muestra'!$D$8:$D$42,ROW('03.Muestra'!$F$8:$F$42)-MIN(ROW('03.Muestra'!$D$8:$D$42))+1,""),ROW()-1348)),"")</f>
        <v>https://www.portcastello.com/</v>
      </c>
      <c r="D1353" s="130" t="str">
        <f t="shared" si="71"/>
        <v>N/T</v>
      </c>
      <c r="E1353" s="107" t="str">
        <f t="shared" si="70"/>
        <v/>
      </c>
      <c r="G1353" s="19"/>
      <c r="H1353" s="19"/>
      <c r="I1353" s="19"/>
      <c r="J1353" s="19"/>
      <c r="K1353" s="233"/>
      <c r="L1353" s="19"/>
    </row>
    <row r="1354" spans="1:12" ht="12" customHeight="1">
      <c r="A1354" s="219" t="n" cm="1">
        <f t="array" ref="A1354">IFERROR(INDEX('03.Muestra'!$B$8:$B$42,SMALL(IF("Página Web"='03.Muestra'!$D$8:$D$42,ROW('03.Muestra'!$B$8:$B$42)-MIN(ROW('03.Muestra'!$D$8:$D$42))+1,""),ROW()-1348)),"")</f>
        <v>1.0</v>
      </c>
      <c r="B1354" s="114" t="str" cm="1">
        <f t="array" ref="B1354">IFERROR(INDEX('03.Muestra'!$C$8:$C$42,SMALL(IF("Página Web"='03.Muestra'!$D$8:$D$42,ROW('03.Muestra'!$C$8:$C$42)-MIN(ROW('03.Muestra'!$D$8:$D$42))+1,""),ROW()-1348)),"")</f>
        <v>Home - PortCastelló</v>
      </c>
      <c r="C1354" s="114" t="str" cm="1">
        <f t="array" ref="C1354">IFERROR(INDEX('03.Muestra'!$F$8:$F$42,SMALL(IF("Página Web"='03.Muestra'!$D$8:$D$42,ROW('03.Muestra'!$F$8:$F$42)-MIN(ROW('03.Muestra'!$D$8:$D$42))+1,""),ROW()-1348)),"")</f>
        <v>https://www.portcastello.com/</v>
      </c>
      <c r="D1354" s="130" t="str">
        <f t="shared" si="71"/>
        <v>N/T</v>
      </c>
      <c r="E1354" s="107" t="str">
        <f t="shared" si="70"/>
        <v/>
      </c>
      <c r="G1354" s="19"/>
      <c r="H1354" s="19"/>
      <c r="I1354" s="19"/>
      <c r="J1354" s="19"/>
      <c r="K1354" s="233"/>
      <c r="L1354" s="19"/>
    </row>
    <row r="1355" spans="1:12" ht="12" customHeight="1">
      <c r="A1355" s="219" t="n" cm="1">
        <f t="array" ref="A1355">IFERROR(INDEX('03.Muestra'!$B$8:$B$42,SMALL(IF("Página Web"='03.Muestra'!$D$8:$D$42,ROW('03.Muestra'!$B$8:$B$42)-MIN(ROW('03.Muestra'!$D$8:$D$42))+1,""),ROW()-1348)),"")</f>
        <v>1.0</v>
      </c>
      <c r="B1355" s="114" t="str" cm="1">
        <f t="array" ref="B1355">IFERROR(INDEX('03.Muestra'!$C$8:$C$42,SMALL(IF("Página Web"='03.Muestra'!$D$8:$D$42,ROW('03.Muestra'!$C$8:$C$42)-MIN(ROW('03.Muestra'!$D$8:$D$42))+1,""),ROW()-1348)),"")</f>
        <v>Home - PortCastelló</v>
      </c>
      <c r="C1355" s="114" t="str" cm="1">
        <f t="array" ref="C1355">IFERROR(INDEX('03.Muestra'!$F$8:$F$42,SMALL(IF("Página Web"='03.Muestra'!$D$8:$D$42,ROW('03.Muestra'!$F$8:$F$42)-MIN(ROW('03.Muestra'!$D$8:$D$42))+1,""),ROW()-1348)),"")</f>
        <v>https://www.portcastello.com/</v>
      </c>
      <c r="D1355" s="130" t="str">
        <f t="shared" si="71"/>
        <v>N/T</v>
      </c>
      <c r="E1355" s="107" t="str">
        <f t="shared" si="70"/>
        <v/>
      </c>
      <c r="F1355" s="19"/>
      <c r="G1355" s="19"/>
      <c r="H1355" s="19"/>
      <c r="I1355" s="19"/>
      <c r="J1355" s="19"/>
      <c r="K1355" s="233"/>
      <c r="L1355" s="19"/>
    </row>
    <row r="1356" spans="1:12" ht="12" customHeight="1">
      <c r="A1356" s="219" t="n" cm="1">
        <f t="array" ref="A1356">IFERROR(INDEX('03.Muestra'!$B$8:$B$42,SMALL(IF("Página Web"='03.Muestra'!$D$8:$D$42,ROW('03.Muestra'!$B$8:$B$42)-MIN(ROW('03.Muestra'!$D$8:$D$42))+1,""),ROW()-1348)),"")</f>
        <v>1.0</v>
      </c>
      <c r="B1356" s="114" t="str" cm="1">
        <f t="array" ref="B1356">IFERROR(INDEX('03.Muestra'!$C$8:$C$42,SMALL(IF("Página Web"='03.Muestra'!$D$8:$D$42,ROW('03.Muestra'!$C$8:$C$42)-MIN(ROW('03.Muestra'!$D$8:$D$42))+1,""),ROW()-1348)),"")</f>
        <v>Home - PortCastelló</v>
      </c>
      <c r="C1356" s="114" t="str" cm="1">
        <f t="array" ref="C1356">IFERROR(INDEX('03.Muestra'!$F$8:$F$42,SMALL(IF("Página Web"='03.Muestra'!$D$8:$D$42,ROW('03.Muestra'!$F$8:$F$42)-MIN(ROW('03.Muestra'!$D$8:$D$42))+1,""),ROW()-1348)),"")</f>
        <v>https://www.portcastello.com/</v>
      </c>
      <c r="D1356" s="130" t="str">
        <f t="shared" si="71"/>
        <v>N/T</v>
      </c>
      <c r="E1356" s="107" t="str">
        <f t="shared" si="70"/>
        <v/>
      </c>
      <c r="F1356" s="19"/>
      <c r="G1356" s="19"/>
      <c r="H1356" s="19"/>
      <c r="I1356" s="19"/>
      <c r="J1356" s="19"/>
      <c r="K1356" s="233"/>
      <c r="L1356" s="19"/>
    </row>
    <row r="1357" spans="1:12" ht="12" customHeight="1">
      <c r="A1357" s="219" t="n" cm="1">
        <f t="array" ref="A1357">IFERROR(INDEX('03.Muestra'!$B$8:$B$42,SMALL(IF("Página Web"='03.Muestra'!$D$8:$D$42,ROW('03.Muestra'!$B$8:$B$42)-MIN(ROW('03.Muestra'!$D$8:$D$42))+1,""),ROW()-1348)),"")</f>
        <v>1.0</v>
      </c>
      <c r="B1357" s="114" t="str" cm="1">
        <f t="array" ref="B1357">IFERROR(INDEX('03.Muestra'!$C$8:$C$42,SMALL(IF("Página Web"='03.Muestra'!$D$8:$D$42,ROW('03.Muestra'!$C$8:$C$42)-MIN(ROW('03.Muestra'!$D$8:$D$42))+1,""),ROW()-1348)),"")</f>
        <v>Home - PortCastelló</v>
      </c>
      <c r="C1357" s="114" t="str" cm="1">
        <f t="array" ref="C1357">IFERROR(INDEX('03.Muestra'!$F$8:$F$42,SMALL(IF("Página Web"='03.Muestra'!$D$8:$D$42,ROW('03.Muestra'!$F$8:$F$42)-MIN(ROW('03.Muestra'!$D$8:$D$42))+1,""),ROW()-1348)),"")</f>
        <v>https://www.portcastello.com/</v>
      </c>
      <c r="D1357" s="130" t="str">
        <f t="shared" si="71"/>
        <v>N/T</v>
      </c>
      <c r="E1357" s="107" t="str">
        <f t="shared" si="70"/>
        <v/>
      </c>
      <c r="F1357" s="19"/>
      <c r="G1357" s="19"/>
      <c r="H1357" s="19"/>
      <c r="I1357" s="19"/>
      <c r="J1357" s="19"/>
      <c r="K1357" s="233"/>
      <c r="L1357" s="19"/>
    </row>
    <row r="1358" spans="1:12" ht="12" customHeight="1">
      <c r="A1358" s="219" t="n"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Home - PortCastelló</v>
      </c>
      <c r="C1358" s="114" t="str" cm="1">
        <f t="array" ref="C1358">IFERROR(INDEX('03.Muestra'!$F$8:$F$42,SMALL(IF("Página Web"='03.Muestra'!$D$8:$D$42,ROW('03.Muestra'!$F$8:$F$42)-MIN(ROW('03.Muestra'!$D$8:$D$42))+1,""),ROW()-1348)),"")</f>
        <v>https://www.portcastello.com/</v>
      </c>
      <c r="D1358" s="130" t="str">
        <f t="shared" si="71"/>
        <v>N/T</v>
      </c>
      <c r="E1358" s="107" t="str">
        <f t="shared" si="70"/>
        <v/>
      </c>
      <c r="F1358" s="19"/>
      <c r="G1358" s="19"/>
      <c r="H1358" s="19"/>
      <c r="I1358" s="19"/>
      <c r="J1358" s="19"/>
      <c r="K1358" s="233"/>
      <c r="L1358" s="19"/>
    </row>
    <row r="1359" spans="1:12" ht="12" customHeight="1">
      <c r="A1359" s="219" t="n" cm="1">
        <f t="array" ref="A1359">IFERROR(INDEX('03.Muestra'!$B$8:$B$42,SMALL(IF("Página Web"='03.Muestra'!$D$8:$D$42,ROW('03.Muestra'!$B$8:$B$42)-MIN(ROW('03.Muestra'!$D$8:$D$42))+1,""),ROW()-1348)),"")</f>
        <v>1.0</v>
      </c>
      <c r="B1359" s="114" t="str" cm="1">
        <f t="array" ref="B1359">IFERROR(INDEX('03.Muestra'!$C$8:$C$42,SMALL(IF("Página Web"='03.Muestra'!$D$8:$D$42,ROW('03.Muestra'!$C$8:$C$42)-MIN(ROW('03.Muestra'!$D$8:$D$42))+1,""),ROW()-1348)),"")</f>
        <v>Home - PortCastelló</v>
      </c>
      <c r="C1359" s="114" t="str" cm="1">
        <f t="array" ref="C1359">IFERROR(INDEX('03.Muestra'!$F$8:$F$42,SMALL(IF("Página Web"='03.Muestra'!$D$8:$D$42,ROW('03.Muestra'!$F$8:$F$42)-MIN(ROW('03.Muestra'!$D$8:$D$42))+1,""),ROW()-1348)),"")</f>
        <v>https://www.portcastello.com/</v>
      </c>
      <c r="D1359" s="130" t="str">
        <f t="shared" si="71"/>
        <v>N/T</v>
      </c>
      <c r="E1359" s="107" t="str">
        <f t="shared" si="70"/>
        <v/>
      </c>
      <c r="F1359" s="19"/>
      <c r="G1359" s="19"/>
      <c r="H1359" s="19"/>
      <c r="I1359" s="19"/>
      <c r="J1359" s="19"/>
      <c r="K1359" s="233"/>
      <c r="L1359" s="19"/>
    </row>
    <row r="1360" spans="1:12" ht="12" customHeight="1">
      <c r="A1360" s="219" t="n" cm="1">
        <f t="array" ref="A1360">IFERROR(INDEX('03.Muestra'!$B$8:$B$42,SMALL(IF("Página Web"='03.Muestra'!$D$8:$D$42,ROW('03.Muestra'!$B$8:$B$42)-MIN(ROW('03.Muestra'!$D$8:$D$42))+1,""),ROW()-1348)),"")</f>
        <v>1.0</v>
      </c>
      <c r="B1360" s="114" t="str" cm="1">
        <f t="array" ref="B1360">IFERROR(INDEX('03.Muestra'!$C$8:$C$42,SMALL(IF("Página Web"='03.Muestra'!$D$8:$D$42,ROW('03.Muestra'!$C$8:$C$42)-MIN(ROW('03.Muestra'!$D$8:$D$42))+1,""),ROW()-1348)),"")</f>
        <v>Home - PortCastelló</v>
      </c>
      <c r="C1360" s="114" t="str" cm="1">
        <f t="array" ref="C1360">IFERROR(INDEX('03.Muestra'!$F$8:$F$42,SMALL(IF("Página Web"='03.Muestra'!$D$8:$D$42,ROW('03.Muestra'!$F$8:$F$42)-MIN(ROW('03.Muestra'!$D$8:$D$42))+1,""),ROW()-1348)),"")</f>
        <v>https://www.portcastello.com/</v>
      </c>
      <c r="D1360" s="130" t="str">
        <f t="shared" si="71"/>
        <v>N/T</v>
      </c>
      <c r="E1360" s="107" t="str">
        <f t="shared" si="70"/>
        <v/>
      </c>
      <c r="F1360" s="19"/>
      <c r="G1360" s="19"/>
      <c r="H1360" s="19"/>
      <c r="I1360" s="19"/>
      <c r="J1360" s="19"/>
      <c r="K1360" s="233"/>
      <c r="L1360" s="19"/>
    </row>
    <row r="1361" spans="1:12" ht="12" customHeight="1">
      <c r="A1361" s="219" t="n" cm="1">
        <f t="array" ref="A1361">IFERROR(INDEX('03.Muestra'!$B$8:$B$42,SMALL(IF("Página Web"='03.Muestra'!$D$8:$D$42,ROW('03.Muestra'!$B$8:$B$42)-MIN(ROW('03.Muestra'!$D$8:$D$42))+1,""),ROW()-1348)),"")</f>
        <v>1.0</v>
      </c>
      <c r="B1361" s="114" t="str" cm="1">
        <f t="array" ref="B1361">IFERROR(INDEX('03.Muestra'!$C$8:$C$42,SMALL(IF("Página Web"='03.Muestra'!$D$8:$D$42,ROW('03.Muestra'!$C$8:$C$42)-MIN(ROW('03.Muestra'!$D$8:$D$42))+1,""),ROW()-1348)),"")</f>
        <v>Home - PortCastelló</v>
      </c>
      <c r="C1361" s="114" t="str" cm="1">
        <f t="array" ref="C1361">IFERROR(INDEX('03.Muestra'!$F$8:$F$42,SMALL(IF("Página Web"='03.Muestra'!$D$8:$D$42,ROW('03.Muestra'!$F$8:$F$42)-MIN(ROW('03.Muestra'!$D$8:$D$42))+1,""),ROW()-1348)),"")</f>
        <v>https://www.portcastello.com/</v>
      </c>
      <c r="D1361" s="130" t="str">
        <f t="shared" si="71"/>
        <v>N/T</v>
      </c>
      <c r="E1361" s="107" t="str">
        <f t="shared" si="70"/>
        <v/>
      </c>
      <c r="F1361" s="19"/>
      <c r="G1361" s="19"/>
      <c r="H1361" s="19"/>
      <c r="I1361" s="19"/>
      <c r="J1361" s="19"/>
      <c r="K1361" s="233"/>
      <c r="L1361" s="19"/>
    </row>
    <row r="1362" spans="1:12" ht="12" customHeight="1">
      <c r="A1362" s="219" t="n" cm="1">
        <f t="array" ref="A1362">IFERROR(INDEX('03.Muestra'!$B$8:$B$42,SMALL(IF("Página Web"='03.Muestra'!$D$8:$D$42,ROW('03.Muestra'!$B$8:$B$42)-MIN(ROW('03.Muestra'!$D$8:$D$42))+1,""),ROW()-1348)),"")</f>
        <v>1.0</v>
      </c>
      <c r="B1362" s="114" t="str" cm="1">
        <f t="array" ref="B1362">IFERROR(INDEX('03.Muestra'!$C$8:$C$42,SMALL(IF("Página Web"='03.Muestra'!$D$8:$D$42,ROW('03.Muestra'!$C$8:$C$42)-MIN(ROW('03.Muestra'!$D$8:$D$42))+1,""),ROW()-1348)),"")</f>
        <v>Home - PortCastelló</v>
      </c>
      <c r="C1362" s="114" t="str" cm="1">
        <f t="array" ref="C1362">IFERROR(INDEX('03.Muestra'!$F$8:$F$42,SMALL(IF("Página Web"='03.Muestra'!$D$8:$D$42,ROW('03.Muestra'!$F$8:$F$42)-MIN(ROW('03.Muestra'!$D$8:$D$42))+1,""),ROW()-1348)),"")</f>
        <v>https://www.portcastello.com/</v>
      </c>
      <c r="D1362" s="130" t="str">
        <f t="shared" si="71"/>
        <v>N/T</v>
      </c>
      <c r="E1362" s="107" t="str">
        <f t="shared" si="70"/>
        <v/>
      </c>
      <c r="F1362" s="19"/>
      <c r="G1362" s="19"/>
      <c r="H1362" s="19"/>
      <c r="I1362" s="19"/>
      <c r="J1362" s="19"/>
      <c r="K1362" s="233"/>
      <c r="L1362" s="19"/>
    </row>
    <row r="1363" spans="1:12" ht="12" customHeight="1">
      <c r="A1363" s="219" t="n" cm="1">
        <f t="array" ref="A1363">IFERROR(INDEX('03.Muestra'!$B$8:$B$42,SMALL(IF("Página Web"='03.Muestra'!$D$8:$D$42,ROW('03.Muestra'!$B$8:$B$42)-MIN(ROW('03.Muestra'!$D$8:$D$42))+1,""),ROW()-1348)),"")</f>
        <v>1.0</v>
      </c>
      <c r="B1363" s="114" t="str" cm="1">
        <f t="array" ref="B1363">IFERROR(INDEX('03.Muestra'!$C$8:$C$42,SMALL(IF("Página Web"='03.Muestra'!$D$8:$D$42,ROW('03.Muestra'!$C$8:$C$42)-MIN(ROW('03.Muestra'!$D$8:$D$42))+1,""),ROW()-1348)),"")</f>
        <v>Home - PortCastelló</v>
      </c>
      <c r="C1363" s="114" t="str" cm="1">
        <f t="array" ref="C1363">IFERROR(INDEX('03.Muestra'!$F$8:$F$42,SMALL(IF("Página Web"='03.Muestra'!$D$8:$D$42,ROW('03.Muestra'!$F$8:$F$42)-MIN(ROW('03.Muestra'!$D$8:$D$42))+1,""),ROW()-1348)),"")</f>
        <v>https://www.portcastello.com/</v>
      </c>
      <c r="D1363" s="130" t="str">
        <f t="shared" si="71"/>
        <v>N/T</v>
      </c>
      <c r="E1363" s="107" t="str">
        <f t="shared" si="70"/>
        <v/>
      </c>
      <c r="F1363" s="19"/>
      <c r="G1363" s="19"/>
      <c r="H1363" s="19"/>
      <c r="I1363" s="19"/>
      <c r="J1363" s="19"/>
      <c r="K1363" s="233"/>
      <c r="L1363" s="19"/>
    </row>
    <row r="1364" spans="1:12" ht="12" customHeight="1">
      <c r="A1364" s="219" t="n" cm="1">
        <f t="array" ref="A1364">IFERROR(INDEX('03.Muestra'!$B$8:$B$42,SMALL(IF("Página Web"='03.Muestra'!$D$8:$D$42,ROW('03.Muestra'!$B$8:$B$42)-MIN(ROW('03.Muestra'!$D$8:$D$42))+1,""),ROW()-1348)),"")</f>
        <v>1.0</v>
      </c>
      <c r="B1364" s="114" t="str" cm="1">
        <f t="array" ref="B1364">IFERROR(INDEX('03.Muestra'!$C$8:$C$42,SMALL(IF("Página Web"='03.Muestra'!$D$8:$D$42,ROW('03.Muestra'!$C$8:$C$42)-MIN(ROW('03.Muestra'!$D$8:$D$42))+1,""),ROW()-1348)),"")</f>
        <v>Home - PortCastelló</v>
      </c>
      <c r="C1364" s="114" t="str" cm="1">
        <f t="array" ref="C1364">IFERROR(INDEX('03.Muestra'!$F$8:$F$42,SMALL(IF("Página Web"='03.Muestra'!$D$8:$D$42,ROW('03.Muestra'!$F$8:$F$42)-MIN(ROW('03.Muestra'!$D$8:$D$42))+1,""),ROW()-1348)),"")</f>
        <v>https://www.portcastello.com/</v>
      </c>
      <c r="D1364" s="130" t="str">
        <f t="shared" si="71"/>
        <v>N/T</v>
      </c>
      <c r="E1364" s="107" t="str">
        <f t="shared" si="70"/>
        <v/>
      </c>
      <c r="F1364" s="19"/>
      <c r="G1364" s="19"/>
      <c r="H1364" s="19"/>
      <c r="I1364" s="19"/>
      <c r="J1364" s="19"/>
      <c r="K1364" s="233"/>
      <c r="L1364" s="19"/>
    </row>
    <row r="1365" spans="1:12" ht="12" customHeight="1">
      <c r="A1365" s="219" t="n" cm="1">
        <f t="array" ref="A1365">IFERROR(INDEX('03.Muestra'!$B$8:$B$42,SMALL(IF("Página Web"='03.Muestra'!$D$8:$D$42,ROW('03.Muestra'!$B$8:$B$42)-MIN(ROW('03.Muestra'!$D$8:$D$42))+1,""),ROW()-1348)),"")</f>
        <v>1.0</v>
      </c>
      <c r="B1365" s="114" t="str" cm="1">
        <f t="array" ref="B1365">IFERROR(INDEX('03.Muestra'!$C$8:$C$42,SMALL(IF("Página Web"='03.Muestra'!$D$8:$D$42,ROW('03.Muestra'!$C$8:$C$42)-MIN(ROW('03.Muestra'!$D$8:$D$42))+1,""),ROW()-1348)),"")</f>
        <v>Home - PortCastelló</v>
      </c>
      <c r="C1365" s="114" t="str" cm="1">
        <f t="array" ref="C1365">IFERROR(INDEX('03.Muestra'!$F$8:$F$42,SMALL(IF("Página Web"='03.Muestra'!$D$8:$D$42,ROW('03.Muestra'!$F$8:$F$42)-MIN(ROW('03.Muestra'!$D$8:$D$42))+1,""),ROW()-1348)),"")</f>
        <v>https://www.portcastello.com/</v>
      </c>
      <c r="D1365" s="130" t="str">
        <f t="shared" si="71"/>
        <v>N/T</v>
      </c>
      <c r="E1365" s="107" t="str">
        <f t="shared" si="70"/>
        <v/>
      </c>
      <c r="F1365" s="19"/>
      <c r="G1365" s="19"/>
      <c r="H1365" s="19"/>
      <c r="I1365" s="19"/>
      <c r="J1365" s="19"/>
      <c r="K1365" s="233"/>
      <c r="L1365" s="19"/>
    </row>
    <row r="1366" spans="1:12" ht="12" customHeight="1">
      <c r="A1366" s="219" t="n" cm="1">
        <f t="array" ref="A1366">IFERROR(INDEX('03.Muestra'!$B$8:$B$42,SMALL(IF("Página Web"='03.Muestra'!$D$8:$D$42,ROW('03.Muestra'!$B$8:$B$42)-MIN(ROW('03.Muestra'!$D$8:$D$42))+1,""),ROW()-1348)),"")</f>
        <v>1.0</v>
      </c>
      <c r="B1366" s="114" t="str" cm="1">
        <f t="array" ref="B1366">IFERROR(INDEX('03.Muestra'!$C$8:$C$42,SMALL(IF("Página Web"='03.Muestra'!$D$8:$D$42,ROW('03.Muestra'!$C$8:$C$42)-MIN(ROW('03.Muestra'!$D$8:$D$42))+1,""),ROW()-1348)),"")</f>
        <v>Home - PortCastelló</v>
      </c>
      <c r="C1366" s="114" t="str" cm="1">
        <f t="array" ref="C1366">IFERROR(INDEX('03.Muestra'!$F$8:$F$42,SMALL(IF("Página Web"='03.Muestra'!$D$8:$D$42,ROW('03.Muestra'!$F$8:$F$42)-MIN(ROW('03.Muestra'!$D$8:$D$42))+1,""),ROW()-1348)),"")</f>
        <v>https://www.portcastello.com/</v>
      </c>
      <c r="D1366" s="130" t="str">
        <f t="shared" si="71"/>
        <v>N/T</v>
      </c>
      <c r="E1366" s="107" t="str">
        <f t="shared" si="70"/>
        <v/>
      </c>
      <c r="F1366" s="19"/>
      <c r="G1366" s="19"/>
      <c r="H1366" s="19"/>
      <c r="I1366" s="19"/>
      <c r="J1366" s="19"/>
      <c r="K1366" s="233"/>
      <c r="L1366" s="19"/>
    </row>
    <row r="1367" spans="1:12" ht="12" customHeight="1">
      <c r="A1367" s="219" t="n" cm="1">
        <f t="array" ref="A1367">IFERROR(INDEX('03.Muestra'!$B$8:$B$42,SMALL(IF("Página Web"='03.Muestra'!$D$8:$D$42,ROW('03.Muestra'!$B$8:$B$42)-MIN(ROW('03.Muestra'!$D$8:$D$42))+1,""),ROW()-1348)),"")</f>
        <v>1.0</v>
      </c>
      <c r="B1367" s="114" t="str" cm="1">
        <f t="array" ref="B1367">IFERROR(INDEX('03.Muestra'!$C$8:$C$42,SMALL(IF("Página Web"='03.Muestra'!$D$8:$D$42,ROW('03.Muestra'!$C$8:$C$42)-MIN(ROW('03.Muestra'!$D$8:$D$42))+1,""),ROW()-1348)),"")</f>
        <v>Home - PortCastelló</v>
      </c>
      <c r="C1367" s="114" t="str" cm="1">
        <f t="array" ref="C1367">IFERROR(INDEX('03.Muestra'!$F$8:$F$42,SMALL(IF("Página Web"='03.Muestra'!$D$8:$D$42,ROW('03.Muestra'!$F$8:$F$42)-MIN(ROW('03.Muestra'!$D$8:$D$42))+1,""),ROW()-1348)),"")</f>
        <v>https://www.portcastello.com/</v>
      </c>
      <c r="D1367" s="130" t="str">
        <f t="shared" si="71"/>
        <v>N/T</v>
      </c>
      <c r="E1367" s="107" t="str">
        <f t="shared" si="70"/>
        <v/>
      </c>
      <c r="F1367" s="19"/>
      <c r="G1367" s="19"/>
      <c r="H1367" s="19"/>
      <c r="I1367" s="19"/>
      <c r="J1367" s="19"/>
      <c r="K1367" s="233"/>
      <c r="L1367" s="19"/>
    </row>
    <row r="1368" spans="1:12" ht="12" customHeight="1">
      <c r="A1368" s="219" t="n" cm="1">
        <f t="array" ref="A1368">IFERROR(INDEX('03.Muestra'!$B$8:$B$42,SMALL(IF("Página Web"='03.Muestra'!$D$8:$D$42,ROW('03.Muestra'!$B$8:$B$42)-MIN(ROW('03.Muestra'!$D$8:$D$42))+1,""),ROW()-1348)),"")</f>
        <v>1.0</v>
      </c>
      <c r="B1368" s="114" t="str" cm="1">
        <f t="array" ref="B1368">IFERROR(INDEX('03.Muestra'!$C$8:$C$42,SMALL(IF("Página Web"='03.Muestra'!$D$8:$D$42,ROW('03.Muestra'!$C$8:$C$42)-MIN(ROW('03.Muestra'!$D$8:$D$42))+1,""),ROW()-1348)),"")</f>
        <v>Home - PortCastelló</v>
      </c>
      <c r="C1368" s="114" t="str" cm="1">
        <f t="array" ref="C1368">IFERROR(INDEX('03.Muestra'!$F$8:$F$42,SMALL(IF("Página Web"='03.Muestra'!$D$8:$D$42,ROW('03.Muestra'!$F$8:$F$42)-MIN(ROW('03.Muestra'!$D$8:$D$42))+1,""),ROW()-1348)),"")</f>
        <v>https://www.portcastello.com/</v>
      </c>
      <c r="D1368" s="130" t="str">
        <f t="shared" si="71"/>
        <v>N/T</v>
      </c>
      <c r="E1368" s="107" t="str">
        <f t="shared" si="70"/>
        <v/>
      </c>
      <c r="F1368" s="19"/>
      <c r="G1368" s="19"/>
      <c r="H1368" s="19"/>
      <c r="I1368" s="19"/>
      <c r="J1368" s="19"/>
      <c r="K1368" s="233"/>
      <c r="L1368" s="19"/>
    </row>
    <row r="1369" spans="1:12" ht="12" customHeight="1">
      <c r="A1369" s="219" t="n" cm="1">
        <f t="array" ref="A1369">IFERROR(INDEX('03.Muestra'!$B$8:$B$42,SMALL(IF("Página Web"='03.Muestra'!$D$8:$D$42,ROW('03.Muestra'!$B$8:$B$42)-MIN(ROW('03.Muestra'!$D$8:$D$42))+1,""),ROW()-1348)),"")</f>
        <v>1.0</v>
      </c>
      <c r="B1369" s="114" t="str" cm="1">
        <f t="array" ref="B1369">IFERROR(INDEX('03.Muestra'!$C$8:$C$42,SMALL(IF("Página Web"='03.Muestra'!$D$8:$D$42,ROW('03.Muestra'!$C$8:$C$42)-MIN(ROW('03.Muestra'!$D$8:$D$42))+1,""),ROW()-1348)),"")</f>
        <v>Home - PortCastelló</v>
      </c>
      <c r="C1369" s="114" t="str" cm="1">
        <f t="array" ref="C1369">IFERROR(INDEX('03.Muestra'!$F$8:$F$42,SMALL(IF("Página Web"='03.Muestra'!$D$8:$D$42,ROW('03.Muestra'!$F$8:$F$42)-MIN(ROW('03.Muestra'!$D$8:$D$42))+1,""),ROW()-1348)),"")</f>
        <v>https://www.portcastello.com/</v>
      </c>
      <c r="D1369" s="130" t="str">
        <f t="shared" si="71"/>
        <v>N/T</v>
      </c>
      <c r="E1369" s="107" t="str">
        <f t="shared" si="70"/>
        <v/>
      </c>
      <c r="F1369" s="19"/>
      <c r="G1369" s="19"/>
      <c r="H1369" s="19"/>
      <c r="I1369" s="19"/>
      <c r="J1369" s="19"/>
      <c r="K1369" s="233"/>
      <c r="L1369" s="19"/>
    </row>
    <row r="1370" spans="1:12" ht="12" customHeight="1">
      <c r="A1370" s="219" t="n" cm="1">
        <f t="array" ref="A1370">IFERROR(INDEX('03.Muestra'!$B$8:$B$42,SMALL(IF("Página Web"='03.Muestra'!$D$8:$D$42,ROW('03.Muestra'!$B$8:$B$42)-MIN(ROW('03.Muestra'!$D$8:$D$42))+1,""),ROW()-1348)),"")</f>
        <v>1.0</v>
      </c>
      <c r="B1370" s="114" t="str" cm="1">
        <f t="array" ref="B1370">IFERROR(INDEX('03.Muestra'!$C$8:$C$42,SMALL(IF("Página Web"='03.Muestra'!$D$8:$D$42,ROW('03.Muestra'!$C$8:$C$42)-MIN(ROW('03.Muestra'!$D$8:$D$42))+1,""),ROW()-1348)),"")</f>
        <v>Home - PortCastelló</v>
      </c>
      <c r="C1370" s="114" t="str" cm="1">
        <f t="array" ref="C1370">IFERROR(INDEX('03.Muestra'!$F$8:$F$42,SMALL(IF("Página Web"='03.Muestra'!$D$8:$D$42,ROW('03.Muestra'!$F$8:$F$42)-MIN(ROW('03.Muestra'!$D$8:$D$42))+1,""),ROW()-1348)),"")</f>
        <v>https://www.portcastello.com/</v>
      </c>
      <c r="D1370" s="130" t="str">
        <f t="shared" si="71"/>
        <v>N/T</v>
      </c>
      <c r="E1370" s="107" t="str">
        <f t="shared" si="70"/>
        <v/>
      </c>
      <c r="F1370" s="19"/>
      <c r="G1370" s="19"/>
      <c r="H1370" s="19"/>
      <c r="I1370" s="19"/>
      <c r="J1370" s="19"/>
      <c r="K1370" s="233"/>
      <c r="L1370" s="19"/>
    </row>
    <row r="1371" spans="1:12" ht="12" customHeight="1">
      <c r="A1371" s="219" t="n" cm="1">
        <f t="array" ref="A1371">IFERROR(INDEX('03.Muestra'!$B$8:$B$42,SMALL(IF("Página Web"='03.Muestra'!$D$8:$D$42,ROW('03.Muestra'!$B$8:$B$42)-MIN(ROW('03.Muestra'!$D$8:$D$42))+1,""),ROW()-1348)),"")</f>
        <v>1.0</v>
      </c>
      <c r="B1371" s="114" t="str" cm="1">
        <f t="array" ref="B1371">IFERROR(INDEX('03.Muestra'!$C$8:$C$42,SMALL(IF("Página Web"='03.Muestra'!$D$8:$D$42,ROW('03.Muestra'!$C$8:$C$42)-MIN(ROW('03.Muestra'!$D$8:$D$42))+1,""),ROW()-1348)),"")</f>
        <v>Home - PortCastelló</v>
      </c>
      <c r="C1371" s="114" t="str" cm="1">
        <f t="array" ref="C1371">IFERROR(INDEX('03.Muestra'!$F$8:$F$42,SMALL(IF("Página Web"='03.Muestra'!$D$8:$D$42,ROW('03.Muestra'!$F$8:$F$42)-MIN(ROW('03.Muestra'!$D$8:$D$42))+1,""),ROW()-1348)),"")</f>
        <v>https://www.portcastello.com/</v>
      </c>
      <c r="D1371" s="130" t="str">
        <f t="shared" si="71"/>
        <v>N/T</v>
      </c>
      <c r="E1371" s="107" t="str">
        <f t="shared" si="70"/>
        <v/>
      </c>
      <c r="F1371" s="19"/>
      <c r="G1371" s="19"/>
      <c r="H1371" s="19"/>
      <c r="I1371" s="19"/>
      <c r="J1371" s="19"/>
      <c r="K1371" s="233"/>
      <c r="L1371" s="19"/>
    </row>
    <row r="1372" spans="1:12" ht="12" customHeight="1">
      <c r="A1372" s="219" t="n" cm="1">
        <f t="array" ref="A1372">IFERROR(INDEX('03.Muestra'!$B$8:$B$42,SMALL(IF("Página Web"='03.Muestra'!$D$8:$D$42,ROW('03.Muestra'!$B$8:$B$42)-MIN(ROW('03.Muestra'!$D$8:$D$42))+1,""),ROW()-1348)),"")</f>
        <v>1.0</v>
      </c>
      <c r="B1372" s="114" t="str" cm="1">
        <f t="array" ref="B1372">IFERROR(INDEX('03.Muestra'!$C$8:$C$42,SMALL(IF("Página Web"='03.Muestra'!$D$8:$D$42,ROW('03.Muestra'!$C$8:$C$42)-MIN(ROW('03.Muestra'!$D$8:$D$42))+1,""),ROW()-1348)),"")</f>
        <v>Home - PortCastelló</v>
      </c>
      <c r="C1372" s="114" t="str" cm="1">
        <f t="array" ref="C1372">IFERROR(INDEX('03.Muestra'!$F$8:$F$42,SMALL(IF("Página Web"='03.Muestra'!$D$8:$D$42,ROW('03.Muestra'!$F$8:$F$42)-MIN(ROW('03.Muestra'!$D$8:$D$42))+1,""),ROW()-1348)),"")</f>
        <v>https://www.portcastello.com/</v>
      </c>
      <c r="D1372" s="130" t="str">
        <f t="shared" si="71"/>
        <v>N/T</v>
      </c>
      <c r="E1372" s="107" t="str">
        <f t="shared" si="70"/>
        <v/>
      </c>
      <c r="F1372" s="19"/>
      <c r="G1372" s="19"/>
      <c r="H1372" s="19"/>
      <c r="I1372" s="19"/>
      <c r="J1372" s="19"/>
      <c r="K1372" s="233"/>
      <c r="L1372" s="19"/>
    </row>
    <row r="1373" spans="1:12" ht="12" customHeight="1">
      <c r="A1373" s="219" t="n" cm="1">
        <f t="array" ref="A1373">IFERROR(INDEX('03.Muestra'!$B$8:$B$42,SMALL(IF("Página Web"='03.Muestra'!$D$8:$D$42,ROW('03.Muestra'!$B$8:$B$42)-MIN(ROW('03.Muestra'!$D$8:$D$42))+1,""),ROW()-1348)),"")</f>
        <v>1.0</v>
      </c>
      <c r="B1373" s="114" t="str" cm="1">
        <f t="array" ref="B1373">IFERROR(INDEX('03.Muestra'!$C$8:$C$42,SMALL(IF("Página Web"='03.Muestra'!$D$8:$D$42,ROW('03.Muestra'!$C$8:$C$42)-MIN(ROW('03.Muestra'!$D$8:$D$42))+1,""),ROW()-1348)),"")</f>
        <v>Home - PortCastelló</v>
      </c>
      <c r="C1373" s="114" t="str" cm="1">
        <f t="array" ref="C1373">IFERROR(INDEX('03.Muestra'!$F$8:$F$42,SMALL(IF("Página Web"='03.Muestra'!$D$8:$D$42,ROW('03.Muestra'!$F$8:$F$42)-MIN(ROW('03.Muestra'!$D$8:$D$42))+1,""),ROW()-1348)),"")</f>
        <v>https://www.portcastello.com/</v>
      </c>
      <c r="D1373" s="130" t="str">
        <f t="shared" si="71"/>
        <v>N/T</v>
      </c>
      <c r="E1373" s="107" t="str">
        <f t="shared" si="70"/>
        <v/>
      </c>
      <c r="F1373" s="19"/>
      <c r="G1373" s="19"/>
      <c r="H1373" s="19"/>
      <c r="I1373" s="19"/>
      <c r="J1373" s="19"/>
      <c r="K1373" s="233"/>
      <c r="L1373" s="19"/>
    </row>
    <row r="1374" spans="1:12" ht="12" customHeight="1">
      <c r="A1374" s="219" t="n" cm="1">
        <f t="array" ref="A1374">IFERROR(INDEX('03.Muestra'!$B$8:$B$42,SMALL(IF("Página Web"='03.Muestra'!$D$8:$D$42,ROW('03.Muestra'!$B$8:$B$42)-MIN(ROW('03.Muestra'!$D$8:$D$42))+1,""),ROW()-1348)),"")</f>
        <v>1.0</v>
      </c>
      <c r="B1374" s="114" t="str" cm="1">
        <f t="array" ref="B1374">IFERROR(INDEX('03.Muestra'!$C$8:$C$42,SMALL(IF("Página Web"='03.Muestra'!$D$8:$D$42,ROW('03.Muestra'!$C$8:$C$42)-MIN(ROW('03.Muestra'!$D$8:$D$42))+1,""),ROW()-1348)),"")</f>
        <v>Home - PortCastelló</v>
      </c>
      <c r="C1374" s="114" t="str" cm="1">
        <f t="array" ref="C1374">IFERROR(INDEX('03.Muestra'!$F$8:$F$42,SMALL(IF("Página Web"='03.Muestra'!$D$8:$D$42,ROW('03.Muestra'!$F$8:$F$42)-MIN(ROW('03.Muestra'!$D$8:$D$42))+1,""),ROW()-1348)),"")</f>
        <v>https://www.portcastello.com/</v>
      </c>
      <c r="D1374" s="130" t="str">
        <f t="shared" si="71"/>
        <v>N/T</v>
      </c>
      <c r="E1374" s="107" t="str">
        <f t="shared" si="70"/>
        <v/>
      </c>
      <c r="F1374" s="19"/>
      <c r="G1374" s="19"/>
      <c r="H1374" s="19"/>
      <c r="I1374" s="19"/>
      <c r="J1374" s="19"/>
      <c r="K1374" s="233"/>
      <c r="L1374" s="19"/>
    </row>
    <row r="1375" spans="1:12" ht="12" customHeight="1">
      <c r="A1375" s="219" t="n" cm="1">
        <f t="array" ref="A1375">IFERROR(INDEX('03.Muestra'!$B$8:$B$42,SMALL(IF("Página Web"='03.Muestra'!$D$8:$D$42,ROW('03.Muestra'!$B$8:$B$42)-MIN(ROW('03.Muestra'!$D$8:$D$42))+1,""),ROW()-1348)),"")</f>
        <v>1.0</v>
      </c>
      <c r="B1375" s="114" t="str" cm="1">
        <f t="array" ref="B1375">IFERROR(INDEX('03.Muestra'!$C$8:$C$42,SMALL(IF("Página Web"='03.Muestra'!$D$8:$D$42,ROW('03.Muestra'!$C$8:$C$42)-MIN(ROW('03.Muestra'!$D$8:$D$42))+1,""),ROW()-1348)),"")</f>
        <v>Home - PortCastelló</v>
      </c>
      <c r="C1375" s="114" t="str" cm="1">
        <f t="array" ref="C1375">IFERROR(INDEX('03.Muestra'!$F$8:$F$42,SMALL(IF("Página Web"='03.Muestra'!$D$8:$D$42,ROW('03.Muestra'!$F$8:$F$42)-MIN(ROW('03.Muestra'!$D$8:$D$42))+1,""),ROW()-1348)),"")</f>
        <v>https://www.portcastello.com/</v>
      </c>
      <c r="D1375" s="130" t="str">
        <f t="shared" si="71"/>
        <v>N/T</v>
      </c>
      <c r="E1375" s="107" t="str">
        <f t="shared" si="70"/>
        <v/>
      </c>
      <c r="F1375" s="19"/>
      <c r="G1375" s="19"/>
      <c r="H1375" s="19"/>
      <c r="I1375" s="19"/>
      <c r="J1375" s="19"/>
      <c r="K1375" s="233"/>
      <c r="L1375" s="19"/>
    </row>
    <row r="1376" spans="1:12" ht="12" customHeight="1">
      <c r="A1376" s="219" t="n" cm="1">
        <f t="array" ref="A1376">IFERROR(INDEX('03.Muestra'!$B$8:$B$42,SMALL(IF("Página Web"='03.Muestra'!$D$8:$D$42,ROW('03.Muestra'!$B$8:$B$42)-MIN(ROW('03.Muestra'!$D$8:$D$42))+1,""),ROW()-1348)),"")</f>
        <v>1.0</v>
      </c>
      <c r="B1376" s="114" t="str" cm="1">
        <f t="array" ref="B1376">IFERROR(INDEX('03.Muestra'!$C$8:$C$42,SMALL(IF("Página Web"='03.Muestra'!$D$8:$D$42,ROW('03.Muestra'!$C$8:$C$42)-MIN(ROW('03.Muestra'!$D$8:$D$42))+1,""),ROW()-1348)),"")</f>
        <v>Home - PortCastelló</v>
      </c>
      <c r="C1376" s="114" t="str" cm="1">
        <f t="array" ref="C1376">IFERROR(INDEX('03.Muestra'!$F$8:$F$42,SMALL(IF("Página Web"='03.Muestra'!$D$8:$D$42,ROW('03.Muestra'!$F$8:$F$42)-MIN(ROW('03.Muestra'!$D$8:$D$42))+1,""),ROW()-1348)),"")</f>
        <v>https://www.portcastello.com/</v>
      </c>
      <c r="D1376" s="130" t="str">
        <f t="shared" si="71"/>
        <v>N/T</v>
      </c>
      <c r="E1376" s="107" t="str">
        <f t="shared" si="70"/>
        <v/>
      </c>
      <c r="G1376" s="19"/>
      <c r="H1376" s="19"/>
      <c r="I1376" s="19"/>
      <c r="J1376" s="19"/>
      <c r="K1376" s="233"/>
      <c r="L1376" s="19"/>
    </row>
    <row r="1377" spans="1:12" ht="12" customHeight="1">
      <c r="A1377" s="219" t="n" cm="1">
        <f t="array" ref="A1377">IFERROR(INDEX('03.Muestra'!$B$8:$B$42,SMALL(IF("Página Web"='03.Muestra'!$D$8:$D$42,ROW('03.Muestra'!$B$8:$B$42)-MIN(ROW('03.Muestra'!$D$8:$D$42))+1,""),ROW()-1348)),"")</f>
        <v>1.0</v>
      </c>
      <c r="B1377" s="114" t="str" cm="1">
        <f t="array" ref="B1377">IFERROR(INDEX('03.Muestra'!$C$8:$C$42,SMALL(IF("Página Web"='03.Muestra'!$D$8:$D$42,ROW('03.Muestra'!$C$8:$C$42)-MIN(ROW('03.Muestra'!$D$8:$D$42))+1,""),ROW()-1348)),"")</f>
        <v>Home - PortCastelló</v>
      </c>
      <c r="C1377" s="114" t="str" cm="1">
        <f t="array" ref="C1377">IFERROR(INDEX('03.Muestra'!$F$8:$F$42,SMALL(IF("Página Web"='03.Muestra'!$D$8:$D$42,ROW('03.Muestra'!$F$8:$F$42)-MIN(ROW('03.Muestra'!$D$8:$D$42))+1,""),ROW()-1348)),"")</f>
        <v>https://www.portcastello.com/</v>
      </c>
      <c r="D1377" s="130" t="str">
        <f t="shared" si="71"/>
        <v>N/T</v>
      </c>
      <c r="E1377" s="107" t="str">
        <f t="shared" si="70"/>
        <v/>
      </c>
      <c r="G1377" s="19"/>
      <c r="H1377" s="19"/>
      <c r="I1377" s="19"/>
      <c r="J1377" s="19"/>
      <c r="K1377" s="233"/>
      <c r="L1377" s="19"/>
    </row>
    <row r="1378" spans="1:12" ht="12" customHeight="1">
      <c r="A1378" s="219" t="n" cm="1">
        <f t="array" ref="A1378">IFERROR(INDEX('03.Muestra'!$B$8:$B$42,SMALL(IF("Página Web"='03.Muestra'!$D$8:$D$42,ROW('03.Muestra'!$B$8:$B$42)-MIN(ROW('03.Muestra'!$D$8:$D$42))+1,""),ROW()-1348)),"")</f>
        <v>1.0</v>
      </c>
      <c r="B1378" s="114" t="str" cm="1">
        <f t="array" ref="B1378">IFERROR(INDEX('03.Muestra'!$C$8:$C$42,SMALL(IF("Página Web"='03.Muestra'!$D$8:$D$42,ROW('03.Muestra'!$C$8:$C$42)-MIN(ROW('03.Muestra'!$D$8:$D$42))+1,""),ROW()-1348)),"")</f>
        <v>Home - PortCastelló</v>
      </c>
      <c r="C1378" s="114" t="str" cm="1">
        <f t="array" ref="C1378">IFERROR(INDEX('03.Muestra'!$F$8:$F$42,SMALL(IF("Página Web"='03.Muestra'!$D$8:$D$42,ROW('03.Muestra'!$F$8:$F$42)-MIN(ROW('03.Muestra'!$D$8:$D$42))+1,""),ROW()-1348)),"")</f>
        <v>https://www.portcastello.com/</v>
      </c>
      <c r="D1378" s="130" t="str">
        <f t="shared" si="71"/>
        <v>N/T</v>
      </c>
      <c r="E1378" s="107" t="str">
        <f t="shared" si="70"/>
        <v/>
      </c>
      <c r="G1378" s="19"/>
      <c r="H1378" s="19"/>
      <c r="I1378" s="19"/>
      <c r="J1378" s="19"/>
      <c r="K1378" s="233"/>
      <c r="L1378" s="19"/>
    </row>
    <row r="1379" spans="1:12" ht="12" customHeight="1">
      <c r="A1379" s="219" t="n" cm="1">
        <f t="array" ref="A1379">IFERROR(INDEX('03.Muestra'!$B$8:$B$42,SMALL(IF("Página Web"='03.Muestra'!$D$8:$D$42,ROW('03.Muestra'!$B$8:$B$42)-MIN(ROW('03.Muestra'!$D$8:$D$42))+1,""),ROW()-1348)),"")</f>
        <v>1.0</v>
      </c>
      <c r="B1379" s="114" t="str" cm="1">
        <f t="array" ref="B1379">IFERROR(INDEX('03.Muestra'!$C$8:$C$42,SMALL(IF("Página Web"='03.Muestra'!$D$8:$D$42,ROW('03.Muestra'!$C$8:$C$42)-MIN(ROW('03.Muestra'!$D$8:$D$42))+1,""),ROW()-1348)),"")</f>
        <v>Home - PortCastelló</v>
      </c>
      <c r="C1379" s="114" t="str" cm="1">
        <f t="array" ref="C1379">IFERROR(INDEX('03.Muestra'!$F$8:$F$42,SMALL(IF("Página Web"='03.Muestra'!$D$8:$D$42,ROW('03.Muestra'!$F$8:$F$42)-MIN(ROW('03.Muestra'!$D$8:$D$42))+1,""),ROW()-1348)),"")</f>
        <v>https://www.portcastello.com/</v>
      </c>
      <c r="D1379" s="130" t="str">
        <f t="shared" si="71"/>
        <v>N/T</v>
      </c>
      <c r="E1379" s="107" t="str">
        <f t="shared" si="70"/>
        <v/>
      </c>
      <c r="F1379" s="124"/>
      <c r="G1379" s="19"/>
      <c r="H1379" s="19"/>
      <c r="I1379" s="19"/>
      <c r="J1379" s="19"/>
      <c r="K1379" s="233"/>
      <c r="L1379" s="19"/>
    </row>
    <row r="1380" spans="1:12" ht="12" customHeight="1">
      <c r="A1380" s="219" t="n" cm="1">
        <f t="array" ref="A1380">IFERROR(INDEX('03.Muestra'!$B$8:$B$42,SMALL(IF("Página Web"='03.Muestra'!$D$8:$D$42,ROW('03.Muestra'!$B$8:$B$42)-MIN(ROW('03.Muestra'!$D$8:$D$42))+1,""),ROW()-1348)),"")</f>
        <v>1.0</v>
      </c>
      <c r="B1380" s="114" t="str" cm="1">
        <f t="array" ref="B1380">IFERROR(INDEX('03.Muestra'!$C$8:$C$42,SMALL(IF("Página Web"='03.Muestra'!$D$8:$D$42,ROW('03.Muestra'!$C$8:$C$42)-MIN(ROW('03.Muestra'!$D$8:$D$42))+1,""),ROW()-1348)),"")</f>
        <v>Home - PortCastelló</v>
      </c>
      <c r="C1380" s="114" t="str" cm="1">
        <f t="array" ref="C1380">IFERROR(INDEX('03.Muestra'!$F$8:$F$42,SMALL(IF("Página Web"='03.Muestra'!$D$8:$D$42,ROW('03.Muestra'!$F$8:$F$42)-MIN(ROW('03.Muestra'!$D$8:$D$42))+1,""),ROW()-1348)),"")</f>
        <v>https://www.portcastello.com/</v>
      </c>
      <c r="D1380" s="130" t="str">
        <f t="shared" si="71"/>
        <v>N/T</v>
      </c>
      <c r="E1380" s="107" t="str">
        <f t="shared" si="70"/>
        <v/>
      </c>
      <c r="F1380" s="124"/>
      <c r="G1380" s="19"/>
      <c r="H1380" s="19"/>
      <c r="I1380" s="19"/>
      <c r="J1380" s="19"/>
      <c r="K1380" s="233"/>
      <c r="L1380" s="19"/>
    </row>
    <row r="1381" spans="1:12" ht="12" customHeight="1">
      <c r="A1381" s="219" t="n" cm="1">
        <f t="array" ref="A1381">IFERROR(INDEX('03.Muestra'!$B$8:$B$42,SMALL(IF("Página Web"='03.Muestra'!$D$8:$D$42,ROW('03.Muestra'!$B$8:$B$42)-MIN(ROW('03.Muestra'!$D$8:$D$42))+1,""),ROW()-1348)),"")</f>
        <v>1.0</v>
      </c>
      <c r="B1381" s="114" t="str" cm="1">
        <f t="array" ref="B1381">IFERROR(INDEX('03.Muestra'!$C$8:$C$42,SMALL(IF("Página Web"='03.Muestra'!$D$8:$D$42,ROW('03.Muestra'!$C$8:$C$42)-MIN(ROW('03.Muestra'!$D$8:$D$42))+1,""),ROW()-1348)),"")</f>
        <v>Home - PortCastelló</v>
      </c>
      <c r="C1381" s="114" t="str" cm="1">
        <f t="array" ref="C1381">IFERROR(INDEX('03.Muestra'!$F$8:$F$42,SMALL(IF("Página Web"='03.Muestra'!$D$8:$D$42,ROW('03.Muestra'!$F$8:$F$42)-MIN(ROW('03.Muestra'!$D$8:$D$42))+1,""),ROW()-1348)),"")</f>
        <v>https://www.portcastello.com/</v>
      </c>
      <c r="D1381" s="130" t="str">
        <f t="shared" si="71"/>
        <v>N/T</v>
      </c>
      <c r="E1381" s="107" t="str">
        <f t="shared" si="70"/>
        <v/>
      </c>
      <c r="F1381" s="124"/>
      <c r="G1381" s="19"/>
      <c r="H1381" s="19"/>
      <c r="I1381" s="19"/>
      <c r="J1381" s="19"/>
      <c r="K1381" s="233"/>
      <c r="L1381" s="19"/>
    </row>
    <row r="1382" spans="1:12" ht="12" customHeight="1">
      <c r="A1382" s="219" t="str" cm="1">
        <f t="array" ref="A1382">IFERROR(INDEX('03.Muestra'!$B$8:$B$42,SMALL(IF("Página Web"='03.Muestra'!$D$8:$D$42,ROW('03.Muestra'!$B$8:$B$42)-MIN(ROW('03.Muestra'!$D$8:$D$42))+1,""),ROW()-1348)),"")</f>
        <v/>
      </c>
      <c r="B1382" s="114" t="str" cm="1">
        <f t="array" ref="B1382">IFERROR(INDEX('03.Muestra'!$C$8:$C$42,SMALL(IF("Página Web"='03.Muestra'!$D$8:$D$42,ROW('03.Muestra'!$C$8:$C$42)-MIN(ROW('03.Muestra'!$D$8:$D$42))+1,""),ROW()-1348)),"")</f>
        <v/>
      </c>
      <c r="C1382" s="114" t="str" cm="1">
        <f t="array" ref="C1382">IFERROR(INDEX('03.Muestra'!$F$8:$F$42,SMALL(IF("Página Web"='03.Muestra'!$D$8:$D$42,ROW('03.Muestra'!$F$8:$F$42)-MIN(ROW('03.Muestra'!$D$8:$D$42))+1,""),ROW()-1348)),"")</f>
        <v/>
      </c>
      <c r="D1382" s="130" t="str">
        <f t="shared" si="71"/>
        <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268</v>
      </c>
      <c r="B1386" s="24" t="s">
        <v>90</v>
      </c>
      <c r="C1386" s="25" t="s">
        <v>409</v>
      </c>
      <c r="D1386" s="26" t="s">
        <v>32</v>
      </c>
      <c r="E1386" s="123"/>
      <c r="K1386" s="233"/>
      <c r="L1386" s="19"/>
    </row>
    <row r="1387" spans="1:12" ht="12" customHeight="1">
      <c r="A1387" s="219" t="n" cm="1">
        <f t="array" ref="A1387">IFERROR(INDEX('03.Muestra'!$B$8:$B$42,SMALL(IF("Página Web"='03.Muestra'!$D$8:$D$42,ROW('03.Muestra'!$B$8:$B$42)-MIN(ROW('03.Muestra'!$D$8:$D$42))+1,""),ROW()-1386)),"")</f>
        <v>1.0</v>
      </c>
      <c r="B1387" s="114" t="str" cm="1">
        <f t="array" ref="B1387">IFERROR(INDEX('03.Muestra'!$C$8:$C$42,SMALL(IF("Página Web"='03.Muestra'!$D$8:$D$42,ROW('03.Muestra'!$C$8:$C$42)-MIN(ROW('03.Muestra'!$D$8:$D$42))+1,""),ROW()-1386)),"")</f>
        <v>Home - PortCastelló</v>
      </c>
      <c r="C1387" s="114" t="str" cm="1">
        <f t="array" ref="C1387">IFERROR(INDEX('03.Muestra'!$F$8:$F$42,SMALL(IF("Página Web"='03.Muestra'!$D$8:$D$42,ROW('03.Muestra'!$F$8:$F$42)-MIN(ROW('03.Muestra'!$D$8:$D$42))+1,""),ROW()-1386)),"")</f>
        <v>https://www.portcastello.com/</v>
      </c>
      <c r="D1387" s="130" t="s">
        <v>37</v>
      </c>
      <c r="E1387" s="107" t="str">
        <f t="shared" ref="E1387:E1421" si="72">IF(D1387&lt;&gt;"",IF(AND(B1387&lt;&gt;"",C1387&lt;&gt;""),"","ERR"),"")</f>
        <v/>
      </c>
      <c r="F1387" s="115" t="s">
        <v>33</v>
      </c>
      <c r="G1387" s="116" t="s">
        <v>37</v>
      </c>
      <c r="H1387" s="117" t="s">
        <v>35</v>
      </c>
      <c r="I1387" s="118" t="s">
        <v>28</v>
      </c>
      <c r="J1387" s="119" t="s">
        <v>26</v>
      </c>
      <c r="K1387" s="226" t="s">
        <v>474</v>
      </c>
      <c r="L1387" s="19"/>
    </row>
    <row r="1388" spans="1:12" ht="12" customHeight="1">
      <c r="A1388" s="219" t="n" cm="1">
        <f t="array" ref="A1388">IFERROR(INDEX('03.Muestra'!$B$8:$B$42,SMALL(IF("Página Web"='03.Muestra'!$D$8:$D$42,ROW('03.Muestra'!$B$8:$B$42)-MIN(ROW('03.Muestra'!$D$8:$D$42))+1,""),ROW()-1386)),"")</f>
        <v>1.0</v>
      </c>
      <c r="B1388" s="114" t="str" cm="1">
        <f t="array" ref="B1388">IFERROR(INDEX('03.Muestra'!$C$8:$C$42,SMALL(IF("Página Web"='03.Muestra'!$D$8:$D$42,ROW('03.Muestra'!$C$8:$C$42)-MIN(ROW('03.Muestra'!$D$8:$D$42))+1,""),ROW()-1386)),"")</f>
        <v>Home - PortCastelló</v>
      </c>
      <c r="C1388" s="114" t="str" cm="1">
        <f t="array" ref="C1388">IFERROR(INDEX('03.Muestra'!$F$8:$F$42,SMALL(IF("Página Web"='03.Muestra'!$D$8:$D$42,ROW('03.Muestra'!$F$8:$F$42)-MIN(ROW('03.Muestra'!$D$8:$D$42))+1,""),ROW()-1386)),"")</f>
        <v>https://www.portcastello.com/</v>
      </c>
      <c r="D1388" s="130" t="s">
        <v>37</v>
      </c>
      <c r="E1388" s="107" t="str">
        <f t="shared" si="72"/>
        <v/>
      </c>
      <c r="F1388" s="120" t="n">
        <f ca="1">COUNTIF($D1387:INDIRECT("$D" &amp;  SUM(ROW()-1,'03.Muestra'!$D$45)-1),F1387)</f>
        <v>0.0</v>
      </c>
      <c r="G1388" s="120" t="n">
        <f ca="1">COUNTIF($D1387:INDIRECT("$D" &amp;  SUM(ROW()-1,'03.Muestra'!$D$45)-1),G1387)</f>
        <v>33.0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IF(COUNTIF('03.Muestra'!$D$8:$D$42,"Página Web")=0,0,COUNTBLANK($D1387:INDIRECT("$D" &amp;  SUM(ROW()-1,COUNTIF('03.Muestra'!$D$8:$D$42,"Página Web"))-1)))</f>
        <v>0.0</v>
      </c>
      <c r="L1388" s="19"/>
    </row>
    <row r="1389" spans="1:12" ht="12" customHeight="1">
      <c r="A1389" s="219" t="n" cm="1">
        <f t="array" ref="A1389">IFERROR(INDEX('03.Muestra'!$B$8:$B$42,SMALL(IF("Página Web"='03.Muestra'!$D$8:$D$42,ROW('03.Muestra'!$B$8:$B$42)-MIN(ROW('03.Muestra'!$D$8:$D$42))+1,""),ROW()-1386)),"")</f>
        <v>1.0</v>
      </c>
      <c r="B1389" s="114" t="str" cm="1">
        <f t="array" ref="B1389">IFERROR(INDEX('03.Muestra'!$C$8:$C$42,SMALL(IF("Página Web"='03.Muestra'!$D$8:$D$42,ROW('03.Muestra'!$C$8:$C$42)-MIN(ROW('03.Muestra'!$D$8:$D$42))+1,""),ROW()-1386)),"")</f>
        <v>Home - PortCastelló</v>
      </c>
      <c r="C1389" s="114" t="str" cm="1">
        <f t="array" ref="C1389">IFERROR(INDEX('03.Muestra'!$F$8:$F$42,SMALL(IF("Página Web"='03.Muestra'!$D$8:$D$42,ROW('03.Muestra'!$F$8:$F$42)-MIN(ROW('03.Muestra'!$D$8:$D$42))+1,""),ROW()-1386)),"")</f>
        <v>https://www.portcastello.com/</v>
      </c>
      <c r="D1389" s="130" t="s">
        <v>37</v>
      </c>
      <c r="E1389" s="107" t="str">
        <f t="shared" si="72"/>
        <v/>
      </c>
      <c r="F1389" s="19"/>
      <c r="G1389" s="19"/>
      <c r="H1389" s="19"/>
      <c r="I1389" s="19"/>
      <c r="J1389" s="19"/>
      <c r="K1389" s="233"/>
      <c r="L1389" s="19"/>
    </row>
    <row r="1390" spans="1:12" ht="12" customHeight="1">
      <c r="A1390" s="219" t="n" cm="1">
        <f t="array" ref="A1390">IFERROR(INDEX('03.Muestra'!$B$8:$B$42,SMALL(IF("Página Web"='03.Muestra'!$D$8:$D$42,ROW('03.Muestra'!$B$8:$B$42)-MIN(ROW('03.Muestra'!$D$8:$D$42))+1,""),ROW()-1386)),"")</f>
        <v>1.0</v>
      </c>
      <c r="B1390" s="114" t="str" cm="1">
        <f t="array" ref="B1390">IFERROR(INDEX('03.Muestra'!$C$8:$C$42,SMALL(IF("Página Web"='03.Muestra'!$D$8:$D$42,ROW('03.Muestra'!$C$8:$C$42)-MIN(ROW('03.Muestra'!$D$8:$D$42))+1,""),ROW()-1386)),"")</f>
        <v>Home - PortCastelló</v>
      </c>
      <c r="C1390" s="114" t="str" cm="1">
        <f t="array" ref="C1390">IFERROR(INDEX('03.Muestra'!$F$8:$F$42,SMALL(IF("Página Web"='03.Muestra'!$D$8:$D$42,ROW('03.Muestra'!$F$8:$F$42)-MIN(ROW('03.Muestra'!$D$8:$D$42))+1,""),ROW()-1386)),"")</f>
        <v>https://www.portcastello.com/</v>
      </c>
      <c r="D1390" s="130" t="s">
        <v>37</v>
      </c>
      <c r="E1390" s="107" t="str">
        <f t="shared" si="72"/>
        <v/>
      </c>
      <c r="F1390" s="19"/>
      <c r="G1390" s="19"/>
      <c r="H1390" s="19"/>
      <c r="I1390" s="19"/>
      <c r="K1390" s="234"/>
      <c r="L1390" s="19"/>
    </row>
    <row r="1391" spans="1:12" ht="12" customHeight="1">
      <c r="A1391" s="219" t="n" cm="1">
        <f t="array" ref="A1391">IFERROR(INDEX('03.Muestra'!$B$8:$B$42,SMALL(IF("Página Web"='03.Muestra'!$D$8:$D$42,ROW('03.Muestra'!$B$8:$B$42)-MIN(ROW('03.Muestra'!$D$8:$D$42))+1,""),ROW()-1386)),"")</f>
        <v>1.0</v>
      </c>
      <c r="B1391" s="114" t="str" cm="1">
        <f t="array" ref="B1391">IFERROR(INDEX('03.Muestra'!$C$8:$C$42,SMALL(IF("Página Web"='03.Muestra'!$D$8:$D$42,ROW('03.Muestra'!$C$8:$C$42)-MIN(ROW('03.Muestra'!$D$8:$D$42))+1,""),ROW()-1386)),"")</f>
        <v>Home - PortCastelló</v>
      </c>
      <c r="C1391" s="114" t="str" cm="1">
        <f t="array" ref="C1391">IFERROR(INDEX('03.Muestra'!$F$8:$F$42,SMALL(IF("Página Web"='03.Muestra'!$D$8:$D$42,ROW('03.Muestra'!$F$8:$F$42)-MIN(ROW('03.Muestra'!$D$8:$D$42))+1,""),ROW()-1386)),"")</f>
        <v>https://www.portcastello.com/</v>
      </c>
      <c r="D1391" s="130" t="s">
        <v>37</v>
      </c>
      <c r="E1391" s="107" t="str">
        <f t="shared" si="72"/>
        <v/>
      </c>
      <c r="F1391" s="122"/>
      <c r="G1391" s="19"/>
      <c r="H1391" s="19"/>
      <c r="I1391" s="19"/>
      <c r="K1391" s="234"/>
      <c r="L1391" s="19"/>
    </row>
    <row r="1392" spans="1:12" ht="12" customHeight="1">
      <c r="A1392" s="219" t="n" cm="1">
        <f t="array" ref="A1392">IFERROR(INDEX('03.Muestra'!$B$8:$B$42,SMALL(IF("Página Web"='03.Muestra'!$D$8:$D$42,ROW('03.Muestra'!$B$8:$B$42)-MIN(ROW('03.Muestra'!$D$8:$D$42))+1,""),ROW()-1386)),"")</f>
        <v>1.0</v>
      </c>
      <c r="B1392" s="114" t="str" cm="1">
        <f t="array" ref="B1392">IFERROR(INDEX('03.Muestra'!$C$8:$C$42,SMALL(IF("Página Web"='03.Muestra'!$D$8:$D$42,ROW('03.Muestra'!$C$8:$C$42)-MIN(ROW('03.Muestra'!$D$8:$D$42))+1,""),ROW()-1386)),"")</f>
        <v>Home - PortCastelló</v>
      </c>
      <c r="C1392" s="114" t="str" cm="1">
        <f t="array" ref="C1392">IFERROR(INDEX('03.Muestra'!$F$8:$F$42,SMALL(IF("Página Web"='03.Muestra'!$D$8:$D$42,ROW('03.Muestra'!$F$8:$F$42)-MIN(ROW('03.Muestra'!$D$8:$D$42))+1,""),ROW()-1386)),"")</f>
        <v>https://www.portcastello.com/</v>
      </c>
      <c r="D1392" s="130" t="s">
        <v>37</v>
      </c>
      <c r="E1392" s="107" t="str">
        <f t="shared" si="72"/>
        <v/>
      </c>
      <c r="F1392" s="19"/>
      <c r="G1392" s="19"/>
      <c r="H1392" s="19"/>
      <c r="I1392" s="19"/>
      <c r="K1392" s="234"/>
      <c r="L1392" s="19"/>
    </row>
    <row r="1393" spans="1:12" ht="12" customHeight="1">
      <c r="A1393" s="219" t="n" cm="1">
        <f t="array" ref="A1393">IFERROR(INDEX('03.Muestra'!$B$8:$B$42,SMALL(IF("Página Web"='03.Muestra'!$D$8:$D$42,ROW('03.Muestra'!$B$8:$B$42)-MIN(ROW('03.Muestra'!$D$8:$D$42))+1,""),ROW()-1386)),"")</f>
        <v>1.0</v>
      </c>
      <c r="B1393" s="114" t="str" cm="1">
        <f t="array" ref="B1393">IFERROR(INDEX('03.Muestra'!$C$8:$C$42,SMALL(IF("Página Web"='03.Muestra'!$D$8:$D$42,ROW('03.Muestra'!$C$8:$C$42)-MIN(ROW('03.Muestra'!$D$8:$D$42))+1,""),ROW()-1386)),"")</f>
        <v>Home - PortCastelló</v>
      </c>
      <c r="C1393" s="114" t="str" cm="1">
        <f t="array" ref="C1393">IFERROR(INDEX('03.Muestra'!$F$8:$F$42,SMALL(IF("Página Web"='03.Muestra'!$D$8:$D$42,ROW('03.Muestra'!$F$8:$F$42)-MIN(ROW('03.Muestra'!$D$8:$D$42))+1,""),ROW()-1386)),"")</f>
        <v>https://www.portcastello.com/</v>
      </c>
      <c r="D1393" s="130" t="s">
        <v>37</v>
      </c>
      <c r="E1393" s="107" t="str">
        <f t="shared" si="72"/>
        <v/>
      </c>
      <c r="F1393" s="19"/>
      <c r="G1393" s="19"/>
      <c r="H1393" s="19"/>
      <c r="I1393" s="19"/>
      <c r="K1393" s="234"/>
      <c r="L1393" s="19"/>
    </row>
    <row r="1394" spans="1:12" ht="12" customHeight="1">
      <c r="A1394" s="219" t="n" cm="1">
        <f t="array" ref="A1394">IFERROR(INDEX('03.Muestra'!$B$8:$B$42,SMALL(IF("Página Web"='03.Muestra'!$D$8:$D$42,ROW('03.Muestra'!$B$8:$B$42)-MIN(ROW('03.Muestra'!$D$8:$D$42))+1,""),ROW()-1386)),"")</f>
        <v>1.0</v>
      </c>
      <c r="B1394" s="114" t="str" cm="1">
        <f t="array" ref="B1394">IFERROR(INDEX('03.Muestra'!$C$8:$C$42,SMALL(IF("Página Web"='03.Muestra'!$D$8:$D$42,ROW('03.Muestra'!$C$8:$C$42)-MIN(ROW('03.Muestra'!$D$8:$D$42))+1,""),ROW()-1386)),"")</f>
        <v>Home - PortCastelló</v>
      </c>
      <c r="C1394" s="114" t="str" cm="1">
        <f t="array" ref="C1394">IFERROR(INDEX('03.Muestra'!$F$8:$F$42,SMALL(IF("Página Web"='03.Muestra'!$D$8:$D$42,ROW('03.Muestra'!$F$8:$F$42)-MIN(ROW('03.Muestra'!$D$8:$D$42))+1,""),ROW()-1386)),"")</f>
        <v>https://www.portcastello.com/</v>
      </c>
      <c r="D1394" s="130" t="s">
        <v>37</v>
      </c>
      <c r="E1394" s="107" t="str">
        <f t="shared" si="72"/>
        <v/>
      </c>
      <c r="F1394" s="19"/>
      <c r="G1394" s="19"/>
      <c r="H1394" s="19"/>
      <c r="I1394" s="19"/>
      <c r="J1394" s="19"/>
      <c r="K1394" s="233"/>
      <c r="L1394" s="19"/>
    </row>
    <row r="1395" spans="1:12" ht="12" customHeight="1">
      <c r="A1395" s="219" t="n" cm="1">
        <f t="array" ref="A1395">IFERROR(INDEX('03.Muestra'!$B$8:$B$42,SMALL(IF("Página Web"='03.Muestra'!$D$8:$D$42,ROW('03.Muestra'!$B$8:$B$42)-MIN(ROW('03.Muestra'!$D$8:$D$42))+1,""),ROW()-1386)),"")</f>
        <v>1.0</v>
      </c>
      <c r="B1395" s="114" t="str" cm="1">
        <f t="array" ref="B1395">IFERROR(INDEX('03.Muestra'!$C$8:$C$42,SMALL(IF("Página Web"='03.Muestra'!$D$8:$D$42,ROW('03.Muestra'!$C$8:$C$42)-MIN(ROW('03.Muestra'!$D$8:$D$42))+1,""),ROW()-1386)),"")</f>
        <v>Home - PortCastelló</v>
      </c>
      <c r="C1395" s="114" t="str" cm="1">
        <f t="array" ref="C1395">IFERROR(INDEX('03.Muestra'!$F$8:$F$42,SMALL(IF("Página Web"='03.Muestra'!$D$8:$D$42,ROW('03.Muestra'!$F$8:$F$42)-MIN(ROW('03.Muestra'!$D$8:$D$42))+1,""),ROW()-1386)),"")</f>
        <v>https://www.portcastello.com/</v>
      </c>
      <c r="D1395" s="130" t="s">
        <v>37</v>
      </c>
      <c r="E1395" s="107" t="str">
        <f t="shared" si="72"/>
        <v/>
      </c>
      <c r="F1395" s="19"/>
      <c r="G1395" s="19"/>
      <c r="H1395" s="19"/>
      <c r="I1395" s="19"/>
      <c r="J1395" s="19"/>
      <c r="K1395" s="233"/>
      <c r="L1395" s="19"/>
    </row>
    <row r="1396" spans="1:12" ht="12" customHeight="1">
      <c r="A1396" s="219" t="n"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Home - PortCastelló</v>
      </c>
      <c r="C1396" s="114" t="str" cm="1">
        <f t="array" ref="C1396">IFERROR(INDEX('03.Muestra'!$F$8:$F$42,SMALL(IF("Página Web"='03.Muestra'!$D$8:$D$42,ROW('03.Muestra'!$F$8:$F$42)-MIN(ROW('03.Muestra'!$D$8:$D$42))+1,""),ROW()-1386)),"")</f>
        <v>https://www.portcastello.com/</v>
      </c>
      <c r="D1396" s="130" t="s">
        <v>37</v>
      </c>
      <c r="E1396" s="107" t="str">
        <f t="shared" si="72"/>
        <v/>
      </c>
      <c r="F1396" s="19"/>
      <c r="G1396" s="19"/>
      <c r="H1396" s="19"/>
      <c r="I1396" s="19"/>
      <c r="J1396" s="19"/>
      <c r="K1396" s="233"/>
      <c r="L1396" s="19"/>
    </row>
    <row r="1397" spans="1:12" ht="12" customHeight="1">
      <c r="A1397" s="219" t="n" cm="1">
        <f t="array" ref="A1397">IFERROR(INDEX('03.Muestra'!$B$8:$B$42,SMALL(IF("Página Web"='03.Muestra'!$D$8:$D$42,ROW('03.Muestra'!$B$8:$B$42)-MIN(ROW('03.Muestra'!$D$8:$D$42))+1,""),ROW()-1386)),"")</f>
        <v>1.0</v>
      </c>
      <c r="B1397" s="114" t="str" cm="1">
        <f t="array" ref="B1397">IFERROR(INDEX('03.Muestra'!$C$8:$C$42,SMALL(IF("Página Web"='03.Muestra'!$D$8:$D$42,ROW('03.Muestra'!$C$8:$C$42)-MIN(ROW('03.Muestra'!$D$8:$D$42))+1,""),ROW()-1386)),"")</f>
        <v>Home - PortCastelló</v>
      </c>
      <c r="C1397" s="114" t="str" cm="1">
        <f t="array" ref="C1397">IFERROR(INDEX('03.Muestra'!$F$8:$F$42,SMALL(IF("Página Web"='03.Muestra'!$D$8:$D$42,ROW('03.Muestra'!$F$8:$F$42)-MIN(ROW('03.Muestra'!$D$8:$D$42))+1,""),ROW()-1386)),"")</f>
        <v>https://www.portcastello.com/</v>
      </c>
      <c r="D1397" s="130" t="s">
        <v>37</v>
      </c>
      <c r="E1397" s="107" t="str">
        <f t="shared" si="72"/>
        <v/>
      </c>
      <c r="F1397" s="19"/>
      <c r="G1397" s="19"/>
      <c r="H1397" s="19"/>
      <c r="I1397" s="19"/>
      <c r="J1397" s="19"/>
      <c r="K1397" s="233"/>
      <c r="L1397" s="19"/>
    </row>
    <row r="1398" spans="1:12" ht="12" customHeight="1">
      <c r="A1398" s="219" t="n" cm="1">
        <f t="array" ref="A1398">IFERROR(INDEX('03.Muestra'!$B$8:$B$42,SMALL(IF("Página Web"='03.Muestra'!$D$8:$D$42,ROW('03.Muestra'!$B$8:$B$42)-MIN(ROW('03.Muestra'!$D$8:$D$42))+1,""),ROW()-1386)),"")</f>
        <v>1.0</v>
      </c>
      <c r="B1398" s="114" t="str" cm="1">
        <f t="array" ref="B1398">IFERROR(INDEX('03.Muestra'!$C$8:$C$42,SMALL(IF("Página Web"='03.Muestra'!$D$8:$D$42,ROW('03.Muestra'!$C$8:$C$42)-MIN(ROW('03.Muestra'!$D$8:$D$42))+1,""),ROW()-1386)),"")</f>
        <v>Home - PortCastelló</v>
      </c>
      <c r="C1398" s="114" t="str" cm="1">
        <f t="array" ref="C1398">IFERROR(INDEX('03.Muestra'!$F$8:$F$42,SMALL(IF("Página Web"='03.Muestra'!$D$8:$D$42,ROW('03.Muestra'!$F$8:$F$42)-MIN(ROW('03.Muestra'!$D$8:$D$42))+1,""),ROW()-1386)),"")</f>
        <v>https://www.portcastello.com/</v>
      </c>
      <c r="D1398" s="130" t="s">
        <v>37</v>
      </c>
      <c r="E1398" s="107" t="str">
        <f t="shared" si="72"/>
        <v/>
      </c>
      <c r="F1398" s="19"/>
      <c r="G1398" s="19"/>
      <c r="H1398" s="19"/>
      <c r="I1398" s="19"/>
      <c r="J1398" s="19"/>
      <c r="K1398" s="233"/>
      <c r="L1398" s="19"/>
    </row>
    <row r="1399" spans="1:12" ht="12" customHeight="1">
      <c r="A1399" s="219" t="n" cm="1">
        <f t="array" ref="A1399">IFERROR(INDEX('03.Muestra'!$B$8:$B$42,SMALL(IF("Página Web"='03.Muestra'!$D$8:$D$42,ROW('03.Muestra'!$B$8:$B$42)-MIN(ROW('03.Muestra'!$D$8:$D$42))+1,""),ROW()-1386)),"")</f>
        <v>1.0</v>
      </c>
      <c r="B1399" s="114" t="str" cm="1">
        <f t="array" ref="B1399">IFERROR(INDEX('03.Muestra'!$C$8:$C$42,SMALL(IF("Página Web"='03.Muestra'!$D$8:$D$42,ROW('03.Muestra'!$C$8:$C$42)-MIN(ROW('03.Muestra'!$D$8:$D$42))+1,""),ROW()-1386)),"")</f>
        <v>Home - PortCastelló</v>
      </c>
      <c r="C1399" s="114" t="str" cm="1">
        <f t="array" ref="C1399">IFERROR(INDEX('03.Muestra'!$F$8:$F$42,SMALL(IF("Página Web"='03.Muestra'!$D$8:$D$42,ROW('03.Muestra'!$F$8:$F$42)-MIN(ROW('03.Muestra'!$D$8:$D$42))+1,""),ROW()-1386)),"")</f>
        <v>https://www.portcastello.com/</v>
      </c>
      <c r="D1399" s="130" t="s">
        <v>37</v>
      </c>
      <c r="E1399" s="107" t="str">
        <f t="shared" si="72"/>
        <v/>
      </c>
      <c r="F1399" s="19"/>
      <c r="G1399" s="19"/>
      <c r="H1399" s="19"/>
      <c r="I1399" s="19"/>
      <c r="J1399" s="19"/>
      <c r="K1399" s="233"/>
      <c r="L1399" s="19"/>
    </row>
    <row r="1400" spans="1:12" ht="12" customHeight="1">
      <c r="A1400" s="219" t="n" cm="1">
        <f t="array" ref="A1400">IFERROR(INDEX('03.Muestra'!$B$8:$B$42,SMALL(IF("Página Web"='03.Muestra'!$D$8:$D$42,ROW('03.Muestra'!$B$8:$B$42)-MIN(ROW('03.Muestra'!$D$8:$D$42))+1,""),ROW()-1386)),"")</f>
        <v>1.0</v>
      </c>
      <c r="B1400" s="114" t="str" cm="1">
        <f t="array" ref="B1400">IFERROR(INDEX('03.Muestra'!$C$8:$C$42,SMALL(IF("Página Web"='03.Muestra'!$D$8:$D$42,ROW('03.Muestra'!$C$8:$C$42)-MIN(ROW('03.Muestra'!$D$8:$D$42))+1,""),ROW()-1386)),"")</f>
        <v>Home - PortCastelló</v>
      </c>
      <c r="C1400" s="114" t="str" cm="1">
        <f t="array" ref="C1400">IFERROR(INDEX('03.Muestra'!$F$8:$F$42,SMALL(IF("Página Web"='03.Muestra'!$D$8:$D$42,ROW('03.Muestra'!$F$8:$F$42)-MIN(ROW('03.Muestra'!$D$8:$D$42))+1,""),ROW()-1386)),"")</f>
        <v>https://www.portcastello.com/</v>
      </c>
      <c r="D1400" s="130" t="s">
        <v>37</v>
      </c>
      <c r="E1400" s="107" t="str">
        <f t="shared" si="72"/>
        <v/>
      </c>
      <c r="F1400" s="19"/>
      <c r="G1400" s="19"/>
      <c r="H1400" s="19"/>
      <c r="I1400" s="19"/>
      <c r="J1400" s="19"/>
      <c r="K1400" s="233"/>
      <c r="L1400" s="19"/>
    </row>
    <row r="1401" spans="1:12" ht="12" customHeight="1">
      <c r="A1401" s="219" t="n" cm="1">
        <f t="array" ref="A1401">IFERROR(INDEX('03.Muestra'!$B$8:$B$42,SMALL(IF("Página Web"='03.Muestra'!$D$8:$D$42,ROW('03.Muestra'!$B$8:$B$42)-MIN(ROW('03.Muestra'!$D$8:$D$42))+1,""),ROW()-1386)),"")</f>
        <v>1.0</v>
      </c>
      <c r="B1401" s="114" t="str" cm="1">
        <f t="array" ref="B1401">IFERROR(INDEX('03.Muestra'!$C$8:$C$42,SMALL(IF("Página Web"='03.Muestra'!$D$8:$D$42,ROW('03.Muestra'!$C$8:$C$42)-MIN(ROW('03.Muestra'!$D$8:$D$42))+1,""),ROW()-1386)),"")</f>
        <v>Home - PortCastelló</v>
      </c>
      <c r="C1401" s="114" t="str" cm="1">
        <f t="array" ref="C1401">IFERROR(INDEX('03.Muestra'!$F$8:$F$42,SMALL(IF("Página Web"='03.Muestra'!$D$8:$D$42,ROW('03.Muestra'!$F$8:$F$42)-MIN(ROW('03.Muestra'!$D$8:$D$42))+1,""),ROW()-1386)),"")</f>
        <v>https://www.portcastello.com/</v>
      </c>
      <c r="D1401" s="130" t="s">
        <v>37</v>
      </c>
      <c r="E1401" s="107" t="str">
        <f t="shared" si="72"/>
        <v/>
      </c>
      <c r="F1401" s="19"/>
      <c r="G1401" s="19"/>
      <c r="H1401" s="19"/>
      <c r="I1401" s="19"/>
      <c r="J1401" s="19"/>
      <c r="K1401" s="233"/>
      <c r="L1401" s="19"/>
    </row>
    <row r="1402" spans="1:12" ht="12" customHeight="1">
      <c r="A1402" s="219" t="n" cm="1">
        <f t="array" ref="A1402">IFERROR(INDEX('03.Muestra'!$B$8:$B$42,SMALL(IF("Página Web"='03.Muestra'!$D$8:$D$42,ROW('03.Muestra'!$B$8:$B$42)-MIN(ROW('03.Muestra'!$D$8:$D$42))+1,""),ROW()-1386)),"")</f>
        <v>1.0</v>
      </c>
      <c r="B1402" s="114" t="str" cm="1">
        <f t="array" ref="B1402">IFERROR(INDEX('03.Muestra'!$C$8:$C$42,SMALL(IF("Página Web"='03.Muestra'!$D$8:$D$42,ROW('03.Muestra'!$C$8:$C$42)-MIN(ROW('03.Muestra'!$D$8:$D$42))+1,""),ROW()-1386)),"")</f>
        <v>Home - PortCastelló</v>
      </c>
      <c r="C1402" s="114" t="str" cm="1">
        <f t="array" ref="C1402">IFERROR(INDEX('03.Muestra'!$F$8:$F$42,SMALL(IF("Página Web"='03.Muestra'!$D$8:$D$42,ROW('03.Muestra'!$F$8:$F$42)-MIN(ROW('03.Muestra'!$D$8:$D$42))+1,""),ROW()-1386)),"")</f>
        <v>https://www.portcastello.com/</v>
      </c>
      <c r="D1402" s="130" t="s">
        <v>37</v>
      </c>
      <c r="E1402" s="107" t="str">
        <f t="shared" si="72"/>
        <v/>
      </c>
      <c r="F1402" s="19"/>
      <c r="G1402" s="19"/>
      <c r="H1402" s="19"/>
      <c r="I1402" s="19"/>
      <c r="J1402" s="19"/>
      <c r="K1402" s="233"/>
      <c r="L1402" s="19"/>
    </row>
    <row r="1403" spans="1:12" ht="12" customHeight="1">
      <c r="A1403" s="219" t="n" cm="1">
        <f t="array" ref="A1403">IFERROR(INDEX('03.Muestra'!$B$8:$B$42,SMALL(IF("Página Web"='03.Muestra'!$D$8:$D$42,ROW('03.Muestra'!$B$8:$B$42)-MIN(ROW('03.Muestra'!$D$8:$D$42))+1,""),ROW()-1386)),"")</f>
        <v>1.0</v>
      </c>
      <c r="B1403" s="114" t="str" cm="1">
        <f t="array" ref="B1403">IFERROR(INDEX('03.Muestra'!$C$8:$C$42,SMALL(IF("Página Web"='03.Muestra'!$D$8:$D$42,ROW('03.Muestra'!$C$8:$C$42)-MIN(ROW('03.Muestra'!$D$8:$D$42))+1,""),ROW()-1386)),"")</f>
        <v>Home - PortCastelló</v>
      </c>
      <c r="C1403" s="114" t="str" cm="1">
        <f t="array" ref="C1403">IFERROR(INDEX('03.Muestra'!$F$8:$F$42,SMALL(IF("Página Web"='03.Muestra'!$D$8:$D$42,ROW('03.Muestra'!$F$8:$F$42)-MIN(ROW('03.Muestra'!$D$8:$D$42))+1,""),ROW()-1386)),"")</f>
        <v>https://www.portcastello.com/</v>
      </c>
      <c r="D1403" s="130" t="s">
        <v>37</v>
      </c>
      <c r="E1403" s="107" t="str">
        <f t="shared" si="72"/>
        <v/>
      </c>
      <c r="F1403" s="19"/>
      <c r="G1403" s="19"/>
      <c r="H1403" s="19"/>
      <c r="I1403" s="19"/>
      <c r="J1403" s="19"/>
      <c r="K1403" s="233"/>
      <c r="L1403" s="19"/>
    </row>
    <row r="1404" spans="1:12" ht="12" customHeight="1">
      <c r="A1404" s="219" t="n" cm="1">
        <f t="array" ref="A1404">IFERROR(INDEX('03.Muestra'!$B$8:$B$42,SMALL(IF("Página Web"='03.Muestra'!$D$8:$D$42,ROW('03.Muestra'!$B$8:$B$42)-MIN(ROW('03.Muestra'!$D$8:$D$42))+1,""),ROW()-1386)),"")</f>
        <v>1.0</v>
      </c>
      <c r="B1404" s="114" t="str" cm="1">
        <f t="array" ref="B1404">IFERROR(INDEX('03.Muestra'!$C$8:$C$42,SMALL(IF("Página Web"='03.Muestra'!$D$8:$D$42,ROW('03.Muestra'!$C$8:$C$42)-MIN(ROW('03.Muestra'!$D$8:$D$42))+1,""),ROW()-1386)),"")</f>
        <v>Home - PortCastelló</v>
      </c>
      <c r="C1404" s="114" t="str" cm="1">
        <f t="array" ref="C1404">IFERROR(INDEX('03.Muestra'!$F$8:$F$42,SMALL(IF("Página Web"='03.Muestra'!$D$8:$D$42,ROW('03.Muestra'!$F$8:$F$42)-MIN(ROW('03.Muestra'!$D$8:$D$42))+1,""),ROW()-1386)),"")</f>
        <v>https://www.portcastello.com/</v>
      </c>
      <c r="D1404" s="130" t="s">
        <v>37</v>
      </c>
      <c r="E1404" s="107" t="str">
        <f t="shared" si="72"/>
        <v/>
      </c>
      <c r="F1404" s="19"/>
      <c r="G1404" s="19"/>
      <c r="H1404" s="19"/>
      <c r="I1404" s="19"/>
      <c r="J1404" s="19"/>
      <c r="K1404" s="233"/>
      <c r="L1404" s="19"/>
    </row>
    <row r="1405" spans="1:12" ht="12" customHeight="1">
      <c r="A1405" s="219" t="n" cm="1">
        <f t="array" ref="A1405">IFERROR(INDEX('03.Muestra'!$B$8:$B$42,SMALL(IF("Página Web"='03.Muestra'!$D$8:$D$42,ROW('03.Muestra'!$B$8:$B$42)-MIN(ROW('03.Muestra'!$D$8:$D$42))+1,""),ROW()-1386)),"")</f>
        <v>1.0</v>
      </c>
      <c r="B1405" s="114" t="str" cm="1">
        <f t="array" ref="B1405">IFERROR(INDEX('03.Muestra'!$C$8:$C$42,SMALL(IF("Página Web"='03.Muestra'!$D$8:$D$42,ROW('03.Muestra'!$C$8:$C$42)-MIN(ROW('03.Muestra'!$D$8:$D$42))+1,""),ROW()-1386)),"")</f>
        <v>Home - PortCastelló</v>
      </c>
      <c r="C1405" s="114" t="str" cm="1">
        <f t="array" ref="C1405">IFERROR(INDEX('03.Muestra'!$F$8:$F$42,SMALL(IF("Página Web"='03.Muestra'!$D$8:$D$42,ROW('03.Muestra'!$F$8:$F$42)-MIN(ROW('03.Muestra'!$D$8:$D$42))+1,""),ROW()-1386)),"")</f>
        <v>https://www.portcastello.com/</v>
      </c>
      <c r="D1405" s="130" t="s">
        <v>37</v>
      </c>
      <c r="E1405" s="107" t="str">
        <f t="shared" si="72"/>
        <v/>
      </c>
      <c r="F1405" s="19"/>
      <c r="G1405" s="19"/>
      <c r="H1405" s="19"/>
      <c r="I1405" s="19"/>
      <c r="J1405" s="19"/>
      <c r="K1405" s="233"/>
      <c r="L1405" s="19"/>
    </row>
    <row r="1406" spans="1:12" ht="12" customHeight="1">
      <c r="A1406" s="219" t="n" cm="1">
        <f t="array" ref="A1406">IFERROR(INDEX('03.Muestra'!$B$8:$B$42,SMALL(IF("Página Web"='03.Muestra'!$D$8:$D$42,ROW('03.Muestra'!$B$8:$B$42)-MIN(ROW('03.Muestra'!$D$8:$D$42))+1,""),ROW()-1386)),"")</f>
        <v>1.0</v>
      </c>
      <c r="B1406" s="114" t="str" cm="1">
        <f t="array" ref="B1406">IFERROR(INDEX('03.Muestra'!$C$8:$C$42,SMALL(IF("Página Web"='03.Muestra'!$D$8:$D$42,ROW('03.Muestra'!$C$8:$C$42)-MIN(ROW('03.Muestra'!$D$8:$D$42))+1,""),ROW()-1386)),"")</f>
        <v>Home - PortCastelló</v>
      </c>
      <c r="C1406" s="114" t="str" cm="1">
        <f t="array" ref="C1406">IFERROR(INDEX('03.Muestra'!$F$8:$F$42,SMALL(IF("Página Web"='03.Muestra'!$D$8:$D$42,ROW('03.Muestra'!$F$8:$F$42)-MIN(ROW('03.Muestra'!$D$8:$D$42))+1,""),ROW()-1386)),"")</f>
        <v>https://www.portcastello.com/</v>
      </c>
      <c r="D1406" s="130" t="s">
        <v>37</v>
      </c>
      <c r="E1406" s="107" t="str">
        <f t="shared" si="72"/>
        <v/>
      </c>
      <c r="F1406" s="19"/>
      <c r="G1406" s="19"/>
      <c r="H1406" s="19"/>
      <c r="I1406" s="19"/>
      <c r="J1406" s="19"/>
      <c r="K1406" s="233"/>
      <c r="L1406" s="19"/>
    </row>
    <row r="1407" spans="1:12" ht="12" customHeight="1">
      <c r="A1407" s="219" t="n" cm="1">
        <f t="array" ref="A1407">IFERROR(INDEX('03.Muestra'!$B$8:$B$42,SMALL(IF("Página Web"='03.Muestra'!$D$8:$D$42,ROW('03.Muestra'!$B$8:$B$42)-MIN(ROW('03.Muestra'!$D$8:$D$42))+1,""),ROW()-1386)),"")</f>
        <v>1.0</v>
      </c>
      <c r="B1407" s="114" t="str" cm="1">
        <f t="array" ref="B1407">IFERROR(INDEX('03.Muestra'!$C$8:$C$42,SMALL(IF("Página Web"='03.Muestra'!$D$8:$D$42,ROW('03.Muestra'!$C$8:$C$42)-MIN(ROW('03.Muestra'!$D$8:$D$42))+1,""),ROW()-1386)),"")</f>
        <v>Home - PortCastelló</v>
      </c>
      <c r="C1407" s="114" t="str" cm="1">
        <f t="array" ref="C1407">IFERROR(INDEX('03.Muestra'!$F$8:$F$42,SMALL(IF("Página Web"='03.Muestra'!$D$8:$D$42,ROW('03.Muestra'!$F$8:$F$42)-MIN(ROW('03.Muestra'!$D$8:$D$42))+1,""),ROW()-1386)),"")</f>
        <v>https://www.portcastello.com/</v>
      </c>
      <c r="D1407" s="130" t="s">
        <v>37</v>
      </c>
      <c r="E1407" s="107" t="str">
        <f t="shared" si="72"/>
        <v/>
      </c>
      <c r="F1407" s="19"/>
      <c r="G1407" s="19"/>
      <c r="H1407" s="19"/>
      <c r="I1407" s="19"/>
      <c r="J1407" s="19"/>
      <c r="K1407" s="233"/>
      <c r="L1407" s="19"/>
    </row>
    <row r="1408" spans="1:12" ht="12" customHeight="1">
      <c r="A1408" s="219" t="n" cm="1">
        <f t="array" ref="A1408">IFERROR(INDEX('03.Muestra'!$B$8:$B$42,SMALL(IF("Página Web"='03.Muestra'!$D$8:$D$42,ROW('03.Muestra'!$B$8:$B$42)-MIN(ROW('03.Muestra'!$D$8:$D$42))+1,""),ROW()-1386)),"")</f>
        <v>1.0</v>
      </c>
      <c r="B1408" s="114" t="str" cm="1">
        <f t="array" ref="B1408">IFERROR(INDEX('03.Muestra'!$C$8:$C$42,SMALL(IF("Página Web"='03.Muestra'!$D$8:$D$42,ROW('03.Muestra'!$C$8:$C$42)-MIN(ROW('03.Muestra'!$D$8:$D$42))+1,""),ROW()-1386)),"")</f>
        <v>Home - PortCastelló</v>
      </c>
      <c r="C1408" s="114" t="str" cm="1">
        <f t="array" ref="C1408">IFERROR(INDEX('03.Muestra'!$F$8:$F$42,SMALL(IF("Página Web"='03.Muestra'!$D$8:$D$42,ROW('03.Muestra'!$F$8:$F$42)-MIN(ROW('03.Muestra'!$D$8:$D$42))+1,""),ROW()-1386)),"")</f>
        <v>https://www.portcastello.com/</v>
      </c>
      <c r="D1408" s="130" t="s">
        <v>37</v>
      </c>
      <c r="E1408" s="107" t="str">
        <f t="shared" si="72"/>
        <v/>
      </c>
      <c r="F1408" s="19"/>
      <c r="G1408" s="19"/>
      <c r="H1408" s="19"/>
      <c r="I1408" s="19"/>
      <c r="J1408" s="19"/>
      <c r="K1408" s="233"/>
      <c r="L1408" s="19"/>
    </row>
    <row r="1409" spans="1:12" ht="12" customHeight="1">
      <c r="A1409" s="219" t="n" cm="1">
        <f t="array" ref="A1409">IFERROR(INDEX('03.Muestra'!$B$8:$B$42,SMALL(IF("Página Web"='03.Muestra'!$D$8:$D$42,ROW('03.Muestra'!$B$8:$B$42)-MIN(ROW('03.Muestra'!$D$8:$D$42))+1,""),ROW()-1386)),"")</f>
        <v>1.0</v>
      </c>
      <c r="B1409" s="114" t="str" cm="1">
        <f t="array" ref="B1409">IFERROR(INDEX('03.Muestra'!$C$8:$C$42,SMALL(IF("Página Web"='03.Muestra'!$D$8:$D$42,ROW('03.Muestra'!$C$8:$C$42)-MIN(ROW('03.Muestra'!$D$8:$D$42))+1,""),ROW()-1386)),"")</f>
        <v>Home - PortCastelló</v>
      </c>
      <c r="C1409" s="114" t="str" cm="1">
        <f t="array" ref="C1409">IFERROR(INDEX('03.Muestra'!$F$8:$F$42,SMALL(IF("Página Web"='03.Muestra'!$D$8:$D$42,ROW('03.Muestra'!$F$8:$F$42)-MIN(ROW('03.Muestra'!$D$8:$D$42))+1,""),ROW()-1386)),"")</f>
        <v>https://www.portcastello.com/</v>
      </c>
      <c r="D1409" s="130" t="s">
        <v>37</v>
      </c>
      <c r="E1409" s="107" t="str">
        <f t="shared" si="72"/>
        <v/>
      </c>
      <c r="F1409" s="19"/>
      <c r="G1409" s="19"/>
      <c r="H1409" s="19"/>
      <c r="I1409" s="19"/>
      <c r="J1409" s="19"/>
      <c r="K1409" s="233"/>
      <c r="L1409" s="19"/>
    </row>
    <row r="1410" spans="1:12" ht="12" customHeight="1">
      <c r="A1410" s="219" t="n" cm="1">
        <f t="array" ref="A1410">IFERROR(INDEX('03.Muestra'!$B$8:$B$42,SMALL(IF("Página Web"='03.Muestra'!$D$8:$D$42,ROW('03.Muestra'!$B$8:$B$42)-MIN(ROW('03.Muestra'!$D$8:$D$42))+1,""),ROW()-1386)),"")</f>
        <v>1.0</v>
      </c>
      <c r="B1410" s="114" t="str" cm="1">
        <f t="array" ref="B1410">IFERROR(INDEX('03.Muestra'!$C$8:$C$42,SMALL(IF("Página Web"='03.Muestra'!$D$8:$D$42,ROW('03.Muestra'!$C$8:$C$42)-MIN(ROW('03.Muestra'!$D$8:$D$42))+1,""),ROW()-1386)),"")</f>
        <v>Home - PortCastelló</v>
      </c>
      <c r="C1410" s="114" t="str" cm="1">
        <f t="array" ref="C1410">IFERROR(INDEX('03.Muestra'!$F$8:$F$42,SMALL(IF("Página Web"='03.Muestra'!$D$8:$D$42,ROW('03.Muestra'!$F$8:$F$42)-MIN(ROW('03.Muestra'!$D$8:$D$42))+1,""),ROW()-1386)),"")</f>
        <v>https://www.portcastello.com/</v>
      </c>
      <c r="D1410" s="130" t="s">
        <v>37</v>
      </c>
      <c r="E1410" s="107" t="str">
        <f t="shared" si="72"/>
        <v/>
      </c>
      <c r="F1410" s="19"/>
      <c r="G1410" s="19"/>
      <c r="H1410" s="19"/>
      <c r="I1410" s="19"/>
      <c r="J1410" s="19"/>
      <c r="K1410" s="233"/>
      <c r="L1410" s="19"/>
    </row>
    <row r="1411" spans="1:12" ht="12" customHeight="1">
      <c r="A1411" s="219" t="n" cm="1">
        <f t="array" ref="A1411">IFERROR(INDEX('03.Muestra'!$B$8:$B$42,SMALL(IF("Página Web"='03.Muestra'!$D$8:$D$42,ROW('03.Muestra'!$B$8:$B$42)-MIN(ROW('03.Muestra'!$D$8:$D$42))+1,""),ROW()-1386)),"")</f>
        <v>1.0</v>
      </c>
      <c r="B1411" s="114" t="str" cm="1">
        <f t="array" ref="B1411">IFERROR(INDEX('03.Muestra'!$C$8:$C$42,SMALL(IF("Página Web"='03.Muestra'!$D$8:$D$42,ROW('03.Muestra'!$C$8:$C$42)-MIN(ROW('03.Muestra'!$D$8:$D$42))+1,""),ROW()-1386)),"")</f>
        <v>Home - PortCastelló</v>
      </c>
      <c r="C1411" s="114" t="str" cm="1">
        <f t="array" ref="C1411">IFERROR(INDEX('03.Muestra'!$F$8:$F$42,SMALL(IF("Página Web"='03.Muestra'!$D$8:$D$42,ROW('03.Muestra'!$F$8:$F$42)-MIN(ROW('03.Muestra'!$D$8:$D$42))+1,""),ROW()-1386)),"")</f>
        <v>https://www.portcastello.com/</v>
      </c>
      <c r="D1411" s="130" t="s">
        <v>37</v>
      </c>
      <c r="E1411" s="107" t="str">
        <f t="shared" si="72"/>
        <v/>
      </c>
      <c r="F1411" s="19"/>
      <c r="G1411" s="19"/>
      <c r="H1411" s="19"/>
      <c r="I1411" s="19"/>
      <c r="J1411" s="19"/>
      <c r="K1411" s="233"/>
      <c r="L1411" s="19"/>
    </row>
    <row r="1412" spans="1:12" ht="12" customHeight="1">
      <c r="A1412" s="219" t="n" cm="1">
        <f t="array" ref="A1412">IFERROR(INDEX('03.Muestra'!$B$8:$B$42,SMALL(IF("Página Web"='03.Muestra'!$D$8:$D$42,ROW('03.Muestra'!$B$8:$B$42)-MIN(ROW('03.Muestra'!$D$8:$D$42))+1,""),ROW()-1386)),"")</f>
        <v>1.0</v>
      </c>
      <c r="B1412" s="114" t="str" cm="1">
        <f t="array" ref="B1412">IFERROR(INDEX('03.Muestra'!$C$8:$C$42,SMALL(IF("Página Web"='03.Muestra'!$D$8:$D$42,ROW('03.Muestra'!$C$8:$C$42)-MIN(ROW('03.Muestra'!$D$8:$D$42))+1,""),ROW()-1386)),"")</f>
        <v>Home - PortCastelló</v>
      </c>
      <c r="C1412" s="114" t="str" cm="1">
        <f t="array" ref="C1412">IFERROR(INDEX('03.Muestra'!$F$8:$F$42,SMALL(IF("Página Web"='03.Muestra'!$D$8:$D$42,ROW('03.Muestra'!$F$8:$F$42)-MIN(ROW('03.Muestra'!$D$8:$D$42))+1,""),ROW()-1386)),"")</f>
        <v>https://www.portcastello.com/</v>
      </c>
      <c r="D1412" s="130" t="s">
        <v>37</v>
      </c>
      <c r="E1412" s="107" t="str">
        <f t="shared" si="72"/>
        <v/>
      </c>
      <c r="F1412" s="19"/>
      <c r="G1412" s="19"/>
      <c r="H1412" s="19"/>
      <c r="I1412" s="19"/>
      <c r="J1412" s="19"/>
      <c r="K1412" s="233"/>
      <c r="L1412" s="19"/>
    </row>
    <row r="1413" spans="1:12" ht="12" customHeight="1">
      <c r="A1413" s="219" t="n" cm="1">
        <f t="array" ref="A1413">IFERROR(INDEX('03.Muestra'!$B$8:$B$42,SMALL(IF("Página Web"='03.Muestra'!$D$8:$D$42,ROW('03.Muestra'!$B$8:$B$42)-MIN(ROW('03.Muestra'!$D$8:$D$42))+1,""),ROW()-1386)),"")</f>
        <v>1.0</v>
      </c>
      <c r="B1413" s="114" t="str" cm="1">
        <f t="array" ref="B1413">IFERROR(INDEX('03.Muestra'!$C$8:$C$42,SMALL(IF("Página Web"='03.Muestra'!$D$8:$D$42,ROW('03.Muestra'!$C$8:$C$42)-MIN(ROW('03.Muestra'!$D$8:$D$42))+1,""),ROW()-1386)),"")</f>
        <v>Home - PortCastelló</v>
      </c>
      <c r="C1413" s="114" t="str" cm="1">
        <f t="array" ref="C1413">IFERROR(INDEX('03.Muestra'!$F$8:$F$42,SMALL(IF("Página Web"='03.Muestra'!$D$8:$D$42,ROW('03.Muestra'!$F$8:$F$42)-MIN(ROW('03.Muestra'!$D$8:$D$42))+1,""),ROW()-1386)),"")</f>
        <v>https://www.portcastello.com/</v>
      </c>
      <c r="D1413" s="130" t="s">
        <v>37</v>
      </c>
      <c r="E1413" s="107" t="str">
        <f t="shared" si="72"/>
        <v/>
      </c>
      <c r="F1413" s="19"/>
      <c r="G1413" s="19"/>
      <c r="H1413" s="19"/>
      <c r="I1413" s="19"/>
      <c r="J1413" s="19"/>
      <c r="K1413" s="233"/>
      <c r="L1413" s="19"/>
    </row>
    <row r="1414" spans="1:12" ht="12" customHeight="1">
      <c r="A1414" s="219" t="n" cm="1">
        <f t="array" ref="A1414">IFERROR(INDEX('03.Muestra'!$B$8:$B$42,SMALL(IF("Página Web"='03.Muestra'!$D$8:$D$42,ROW('03.Muestra'!$B$8:$B$42)-MIN(ROW('03.Muestra'!$D$8:$D$42))+1,""),ROW()-1386)),"")</f>
        <v>1.0</v>
      </c>
      <c r="B1414" s="114" t="str" cm="1">
        <f t="array" ref="B1414">IFERROR(INDEX('03.Muestra'!$C$8:$C$42,SMALL(IF("Página Web"='03.Muestra'!$D$8:$D$42,ROW('03.Muestra'!$C$8:$C$42)-MIN(ROW('03.Muestra'!$D$8:$D$42))+1,""),ROW()-1386)),"")</f>
        <v>Home - PortCastelló</v>
      </c>
      <c r="C1414" s="114" t="str" cm="1">
        <f t="array" ref="C1414">IFERROR(INDEX('03.Muestra'!$F$8:$F$42,SMALL(IF("Página Web"='03.Muestra'!$D$8:$D$42,ROW('03.Muestra'!$F$8:$F$42)-MIN(ROW('03.Muestra'!$D$8:$D$42))+1,""),ROW()-1386)),"")</f>
        <v>https://www.portcastello.com/</v>
      </c>
      <c r="D1414" s="130" t="s">
        <v>37</v>
      </c>
      <c r="E1414" s="107" t="str">
        <f t="shared" si="72"/>
        <v/>
      </c>
      <c r="F1414" s="19"/>
      <c r="G1414" s="19"/>
      <c r="H1414" s="19"/>
      <c r="I1414" s="19"/>
      <c r="J1414" s="19"/>
      <c r="K1414" s="233"/>
      <c r="L1414" s="19"/>
    </row>
    <row r="1415" spans="1:12" ht="12" customHeight="1">
      <c r="A1415" s="219" t="n" cm="1">
        <f t="array" ref="A1415">IFERROR(INDEX('03.Muestra'!$B$8:$B$42,SMALL(IF("Página Web"='03.Muestra'!$D$8:$D$42,ROW('03.Muestra'!$B$8:$B$42)-MIN(ROW('03.Muestra'!$D$8:$D$42))+1,""),ROW()-1386)),"")</f>
        <v>1.0</v>
      </c>
      <c r="B1415" s="114" t="str" cm="1">
        <f t="array" ref="B1415">IFERROR(INDEX('03.Muestra'!$C$8:$C$42,SMALL(IF("Página Web"='03.Muestra'!$D$8:$D$42,ROW('03.Muestra'!$C$8:$C$42)-MIN(ROW('03.Muestra'!$D$8:$D$42))+1,""),ROW()-1386)),"")</f>
        <v>Home - PortCastelló</v>
      </c>
      <c r="C1415" s="114" t="str" cm="1">
        <f t="array" ref="C1415">IFERROR(INDEX('03.Muestra'!$F$8:$F$42,SMALL(IF("Página Web"='03.Muestra'!$D$8:$D$42,ROW('03.Muestra'!$F$8:$F$42)-MIN(ROW('03.Muestra'!$D$8:$D$42))+1,""),ROW()-1386)),"")</f>
        <v>https://www.portcastello.com/</v>
      </c>
      <c r="D1415" s="130" t="s">
        <v>37</v>
      </c>
      <c r="E1415" s="107" t="str">
        <f t="shared" si="72"/>
        <v/>
      </c>
      <c r="F1415" s="19"/>
      <c r="G1415" s="19"/>
      <c r="H1415" s="19"/>
      <c r="I1415" s="19"/>
      <c r="J1415" s="19"/>
      <c r="K1415" s="233"/>
      <c r="L1415" s="19"/>
    </row>
    <row r="1416" spans="1:12" ht="12" customHeight="1">
      <c r="A1416" s="219" t="n" cm="1">
        <f t="array" ref="A1416">IFERROR(INDEX('03.Muestra'!$B$8:$B$42,SMALL(IF("Página Web"='03.Muestra'!$D$8:$D$42,ROW('03.Muestra'!$B$8:$B$42)-MIN(ROW('03.Muestra'!$D$8:$D$42))+1,""),ROW()-1386)),"")</f>
        <v>1.0</v>
      </c>
      <c r="B1416" s="114" t="str" cm="1">
        <f t="array" ref="B1416">IFERROR(INDEX('03.Muestra'!$C$8:$C$42,SMALL(IF("Página Web"='03.Muestra'!$D$8:$D$42,ROW('03.Muestra'!$C$8:$C$42)-MIN(ROW('03.Muestra'!$D$8:$D$42))+1,""),ROW()-1386)),"")</f>
        <v>Home - PortCastelló</v>
      </c>
      <c r="C1416" s="114" t="str" cm="1">
        <f t="array" ref="C1416">IFERROR(INDEX('03.Muestra'!$F$8:$F$42,SMALL(IF("Página Web"='03.Muestra'!$D$8:$D$42,ROW('03.Muestra'!$F$8:$F$42)-MIN(ROW('03.Muestra'!$D$8:$D$42))+1,""),ROW()-1386)),"")</f>
        <v>https://www.portcastello.com/</v>
      </c>
      <c r="D1416" s="130" t="s">
        <v>37</v>
      </c>
      <c r="E1416" s="107" t="str">
        <f t="shared" si="72"/>
        <v/>
      </c>
      <c r="F1416" s="19"/>
      <c r="G1416" s="19"/>
      <c r="H1416" s="19"/>
      <c r="I1416" s="19"/>
      <c r="J1416" s="19"/>
      <c r="K1416" s="233"/>
      <c r="L1416" s="19"/>
    </row>
    <row r="1417" spans="1:12" ht="12" customHeight="1">
      <c r="A1417" s="219" t="n" cm="1">
        <f t="array" ref="A1417">IFERROR(INDEX('03.Muestra'!$B$8:$B$42,SMALL(IF("Página Web"='03.Muestra'!$D$8:$D$42,ROW('03.Muestra'!$B$8:$B$42)-MIN(ROW('03.Muestra'!$D$8:$D$42))+1,""),ROW()-1386)),"")</f>
        <v>1.0</v>
      </c>
      <c r="B1417" s="114" t="str" cm="1">
        <f t="array" ref="B1417">IFERROR(INDEX('03.Muestra'!$C$8:$C$42,SMALL(IF("Página Web"='03.Muestra'!$D$8:$D$42,ROW('03.Muestra'!$C$8:$C$42)-MIN(ROW('03.Muestra'!$D$8:$D$42))+1,""),ROW()-1386)),"")</f>
        <v>Home - PortCastelló</v>
      </c>
      <c r="C1417" s="114" t="str" cm="1">
        <f t="array" ref="C1417">IFERROR(INDEX('03.Muestra'!$F$8:$F$42,SMALL(IF("Página Web"='03.Muestra'!$D$8:$D$42,ROW('03.Muestra'!$F$8:$F$42)-MIN(ROW('03.Muestra'!$D$8:$D$42))+1,""),ROW()-1386)),"")</f>
        <v>https://www.portcastello.com/</v>
      </c>
      <c r="D1417" s="130" t="s">
        <v>37</v>
      </c>
      <c r="E1417" s="107" t="str">
        <f t="shared" si="72"/>
        <v/>
      </c>
      <c r="F1417" s="19"/>
      <c r="G1417" s="19"/>
      <c r="H1417" s="19"/>
      <c r="I1417" s="19"/>
      <c r="J1417" s="19"/>
      <c r="K1417" s="233"/>
      <c r="L1417" s="19"/>
    </row>
    <row r="1418" spans="1:12" ht="12" customHeight="1">
      <c r="A1418" s="219" t="n" cm="1">
        <f t="array" ref="A1418">IFERROR(INDEX('03.Muestra'!$B$8:$B$42,SMALL(IF("Página Web"='03.Muestra'!$D$8:$D$42,ROW('03.Muestra'!$B$8:$B$42)-MIN(ROW('03.Muestra'!$D$8:$D$42))+1,""),ROW()-1386)),"")</f>
        <v>1.0</v>
      </c>
      <c r="B1418" s="114" t="str" cm="1">
        <f t="array" ref="B1418">IFERROR(INDEX('03.Muestra'!$C$8:$C$42,SMALL(IF("Página Web"='03.Muestra'!$D$8:$D$42,ROW('03.Muestra'!$C$8:$C$42)-MIN(ROW('03.Muestra'!$D$8:$D$42))+1,""),ROW()-1386)),"")</f>
        <v>Home - PortCastelló</v>
      </c>
      <c r="C1418" s="114" t="str" cm="1">
        <f t="array" ref="C1418">IFERROR(INDEX('03.Muestra'!$F$8:$F$42,SMALL(IF("Página Web"='03.Muestra'!$D$8:$D$42,ROW('03.Muestra'!$F$8:$F$42)-MIN(ROW('03.Muestra'!$D$8:$D$42))+1,""),ROW()-1386)),"")</f>
        <v>https://www.portcastello.com/</v>
      </c>
      <c r="D1418" s="130" t="s">
        <v>37</v>
      </c>
      <c r="E1418" s="107" t="str">
        <f t="shared" si="72"/>
        <v/>
      </c>
      <c r="F1418" s="19"/>
      <c r="G1418" s="19"/>
      <c r="H1418" s="19"/>
      <c r="I1418" s="19"/>
      <c r="J1418" s="19"/>
      <c r="K1418" s="233"/>
      <c r="L1418" s="19"/>
    </row>
    <row r="1419" spans="1:12" ht="12" customHeight="1">
      <c r="A1419" s="219" t="n" cm="1">
        <f t="array" ref="A1419">IFERROR(INDEX('03.Muestra'!$B$8:$B$42,SMALL(IF("Página Web"='03.Muestra'!$D$8:$D$42,ROW('03.Muestra'!$B$8:$B$42)-MIN(ROW('03.Muestra'!$D$8:$D$42))+1,""),ROW()-1386)),"")</f>
        <v>1.0</v>
      </c>
      <c r="B1419" s="114" t="str" cm="1">
        <f t="array" ref="B1419">IFERROR(INDEX('03.Muestra'!$C$8:$C$42,SMALL(IF("Página Web"='03.Muestra'!$D$8:$D$42,ROW('03.Muestra'!$C$8:$C$42)-MIN(ROW('03.Muestra'!$D$8:$D$42))+1,""),ROW()-1386)),"")</f>
        <v>Home - PortCastelló</v>
      </c>
      <c r="C1419" s="114" t="str" cm="1">
        <f t="array" ref="C1419">IFERROR(INDEX('03.Muestra'!$F$8:$F$42,SMALL(IF("Página Web"='03.Muestra'!$D$8:$D$42,ROW('03.Muestra'!$F$8:$F$42)-MIN(ROW('03.Muestra'!$D$8:$D$42))+1,""),ROW()-1386)),"")</f>
        <v>https://www.portcastello.com/</v>
      </c>
      <c r="D1419" s="130" t="s">
        <v>37</v>
      </c>
      <c r="E1419" s="107" t="str">
        <f t="shared" si="72"/>
        <v/>
      </c>
      <c r="F1419" s="19"/>
      <c r="G1419" s="19"/>
      <c r="H1419" s="19"/>
      <c r="I1419" s="19"/>
      <c r="J1419" s="19"/>
      <c r="K1419" s="233"/>
      <c r="L1419" s="19"/>
    </row>
    <row r="1420" spans="1:12" ht="12" customHeight="1">
      <c r="A1420" s="219" t="str" cm="1">
        <f t="array" ref="A1420">IFERROR(INDEX('03.Muestra'!$B$8:$B$42,SMALL(IF("Página Web"='03.Muestra'!$D$8:$D$42,ROW('03.Muestra'!$B$8:$B$42)-MIN(ROW('03.Muestra'!$D$8:$D$42))+1,""),ROW()-1386)),"")</f>
        <v/>
      </c>
      <c r="B1420" s="114" t="str" cm="1">
        <f t="array" ref="B1420">IFERROR(INDEX('03.Muestra'!$C$8:$C$42,SMALL(IF("Página Web"='03.Muestra'!$D$8:$D$42,ROW('03.Muestra'!$C$8:$C$42)-MIN(ROW('03.Muestra'!$D$8:$D$42))+1,""),ROW()-1386)),"")</f>
        <v/>
      </c>
      <c r="C1420" s="114" t="str" cm="1">
        <f t="array" ref="C1420">IFERROR(INDEX('03.Muestra'!$F$8:$F$42,SMALL(IF("Página Web"='03.Muestra'!$D$8:$D$42,ROW('03.Muestra'!$F$8:$F$42)-MIN(ROW('03.Muestra'!$D$8:$D$42))+1,""),ROW()-1386)),"")</f>
        <v/>
      </c>
      <c r="D1420" s="130" t="str">
        <f t="shared" si="73" ref="D1420:D1421">IF(AND(B1420&lt;&gt;"",C1420&lt;&gt;""),"N/T","")</f>
        <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268</v>
      </c>
      <c r="B1424" s="24" t="s">
        <v>90</v>
      </c>
      <c r="C1424" s="25" t="s">
        <v>410</v>
      </c>
      <c r="D1424" s="26" t="s">
        <v>32</v>
      </c>
      <c r="E1424" s="123"/>
      <c r="K1424" s="233"/>
      <c r="L1424" s="19"/>
    </row>
    <row r="1425" spans="1:12" ht="12" customHeight="1">
      <c r="A1425" s="219" t="n" cm="1">
        <f t="array" ref="A1425">IFERROR(INDEX('03.Muestra'!$B$8:$B$42,SMALL(IF("Página Web"='03.Muestra'!$D$8:$D$42,ROW('03.Muestra'!$B$8:$B$42)-MIN(ROW('03.Muestra'!$D$8:$D$42))+1,""),ROW()-1424)),"")</f>
        <v>1.0</v>
      </c>
      <c r="B1425" s="114" t="str" cm="1">
        <f t="array" ref="B1425">IFERROR(INDEX('03.Muestra'!$C$8:$C$42,SMALL(IF("Página Web"='03.Muestra'!$D$8:$D$42,ROW('03.Muestra'!$C$8:$C$42)-MIN(ROW('03.Muestra'!$D$8:$D$42))+1,""),ROW()-1424)),"")</f>
        <v>Home - PortCastelló</v>
      </c>
      <c r="C1425" s="114" t="str" cm="1">
        <f t="array" ref="C1425">IFERROR(INDEX('03.Muestra'!$F$8:$F$42,SMALL(IF("Página Web"='03.Muestra'!$D$8:$D$42,ROW('03.Muestra'!$F$8:$F$42)-MIN(ROW('03.Muestra'!$D$8:$D$42))+1,""),ROW()-1424)),"")</f>
        <v>https://www.portcastello.com/</v>
      </c>
      <c r="D1425" s="130" t="s">
        <v>37</v>
      </c>
      <c r="E1425" s="107" t="str">
        <f t="shared" ref="E1425:E1459" si="74">IF(D1425&lt;&gt;"",IF(AND(B1425&lt;&gt;"",C1425&lt;&gt;""),"","ERR"),"")</f>
        <v/>
      </c>
      <c r="F1425" s="115" t="s">
        <v>33</v>
      </c>
      <c r="G1425" s="116" t="s">
        <v>37</v>
      </c>
      <c r="H1425" s="117" t="s">
        <v>35</v>
      </c>
      <c r="I1425" s="118" t="s">
        <v>28</v>
      </c>
      <c r="J1425" s="119" t="s">
        <v>26</v>
      </c>
      <c r="K1425" s="226" t="s">
        <v>474</v>
      </c>
      <c r="L1425" s="19"/>
    </row>
    <row r="1426" spans="1:12" ht="12" customHeight="1">
      <c r="A1426" s="219" t="n" cm="1">
        <f t="array" ref="A1426">IFERROR(INDEX('03.Muestra'!$B$8:$B$42,SMALL(IF("Página Web"='03.Muestra'!$D$8:$D$42,ROW('03.Muestra'!$B$8:$B$42)-MIN(ROW('03.Muestra'!$D$8:$D$42))+1,""),ROW()-1424)),"")</f>
        <v>1.0</v>
      </c>
      <c r="B1426" s="114" t="str" cm="1">
        <f t="array" ref="B1426">IFERROR(INDEX('03.Muestra'!$C$8:$C$42,SMALL(IF("Página Web"='03.Muestra'!$D$8:$D$42,ROW('03.Muestra'!$C$8:$C$42)-MIN(ROW('03.Muestra'!$D$8:$D$42))+1,""),ROW()-1424)),"")</f>
        <v>Home - PortCastelló</v>
      </c>
      <c r="C1426" s="114" t="str" cm="1">
        <f t="array" ref="C1426">IFERROR(INDEX('03.Muestra'!$F$8:$F$42,SMALL(IF("Página Web"='03.Muestra'!$D$8:$D$42,ROW('03.Muestra'!$F$8:$F$42)-MIN(ROW('03.Muestra'!$D$8:$D$42))+1,""),ROW()-1424)),"")</f>
        <v>https://www.portcastello.com/</v>
      </c>
      <c r="D1426" s="130" t="s">
        <v>37</v>
      </c>
      <c r="E1426" s="107" t="str">
        <f t="shared" si="74"/>
        <v/>
      </c>
      <c r="F1426" s="120" t="n">
        <f ca="1">COUNTIF($D1425:INDIRECT("$D" &amp;  SUM(ROW()-1,'03.Muestra'!$D$45)-1),F1425)</f>
        <v>0.0</v>
      </c>
      <c r="G1426" s="120" t="n">
        <f ca="1">COUNTIF($D1425:INDIRECT("$D" &amp;  SUM(ROW()-1,'03.Muestra'!$D$45)-1),G1425)</f>
        <v>32.0</v>
      </c>
      <c r="H1426" s="120" t="n">
        <f ca="1">COUNTIF($D1425:INDIRECT("$D" &amp;  SUM(ROW()-1,'03.Muestra'!$D$45)-1),H1425)</f>
        <v>0.0</v>
      </c>
      <c r="I1426" s="120" t="n">
        <f ca="1">COUNTIF($D1425:INDIRECT("$D" &amp;  SUM(ROW()-1,'03.Muestra'!$D$45)-1),I1425)</f>
        <v>1.0</v>
      </c>
      <c r="J1426" s="120" t="n">
        <f ca="1">COUNTIF($D1425:INDIRECT("$D" &amp;  SUM(ROW()-1,'03.Muestra'!$D$45)-1),J1425)</f>
        <v>0.0</v>
      </c>
      <c r="K1426" s="227" t="n">
        <f ca="1">IF(COUNTIF('03.Muestra'!$D$8:$D$42,"Página Web")=0,0,COUNTBLANK($D1425:INDIRECT("$D" &amp;  SUM(ROW()-1,COUNTIF('03.Muestra'!$D$8:$D$42,"Página Web"))-1)))</f>
        <v>0.0</v>
      </c>
      <c r="L1426" s="19"/>
    </row>
    <row r="1427" spans="1:12" ht="12" customHeight="1">
      <c r="A1427" s="219" t="n" cm="1">
        <f t="array" ref="A1427">IFERROR(INDEX('03.Muestra'!$B$8:$B$42,SMALL(IF("Página Web"='03.Muestra'!$D$8:$D$42,ROW('03.Muestra'!$B$8:$B$42)-MIN(ROW('03.Muestra'!$D$8:$D$42))+1,""),ROW()-1424)),"")</f>
        <v>1.0</v>
      </c>
      <c r="B1427" s="114" t="str" cm="1">
        <f t="array" ref="B1427">IFERROR(INDEX('03.Muestra'!$C$8:$C$42,SMALL(IF("Página Web"='03.Muestra'!$D$8:$D$42,ROW('03.Muestra'!$C$8:$C$42)-MIN(ROW('03.Muestra'!$D$8:$D$42))+1,""),ROW()-1424)),"")</f>
        <v>Home - PortCastelló</v>
      </c>
      <c r="C1427" s="114" t="str" cm="1">
        <f t="array" ref="C1427">IFERROR(INDEX('03.Muestra'!$F$8:$F$42,SMALL(IF("Página Web"='03.Muestra'!$D$8:$D$42,ROW('03.Muestra'!$F$8:$F$42)-MIN(ROW('03.Muestra'!$D$8:$D$42))+1,""),ROW()-1424)),"")</f>
        <v>https://www.portcastello.com/</v>
      </c>
      <c r="D1427" s="130" t="s">
        <v>37</v>
      </c>
      <c r="E1427" s="107" t="str">
        <f t="shared" si="74"/>
        <v/>
      </c>
      <c r="G1427" s="19"/>
      <c r="H1427" s="19"/>
      <c r="I1427" s="19"/>
      <c r="J1427" s="19"/>
      <c r="K1427" s="233"/>
      <c r="L1427" s="19"/>
    </row>
    <row r="1428" spans="1:12" ht="12" customHeight="1">
      <c r="A1428" s="219" t="n" cm="1">
        <f t="array" ref="A1428">IFERROR(INDEX('03.Muestra'!$B$8:$B$42,SMALL(IF("Página Web"='03.Muestra'!$D$8:$D$42,ROW('03.Muestra'!$B$8:$B$42)-MIN(ROW('03.Muestra'!$D$8:$D$42))+1,""),ROW()-1424)),"")</f>
        <v>1.0</v>
      </c>
      <c r="B1428" s="114" t="str" cm="1">
        <f t="array" ref="B1428">IFERROR(INDEX('03.Muestra'!$C$8:$C$42,SMALL(IF("Página Web"='03.Muestra'!$D$8:$D$42,ROW('03.Muestra'!$C$8:$C$42)-MIN(ROW('03.Muestra'!$D$8:$D$42))+1,""),ROW()-1424)),"")</f>
        <v>Home - PortCastelló</v>
      </c>
      <c r="C1428" s="114" t="str" cm="1">
        <f t="array" ref="C1428">IFERROR(INDEX('03.Muestra'!$F$8:$F$42,SMALL(IF("Página Web"='03.Muestra'!$D$8:$D$42,ROW('03.Muestra'!$F$8:$F$42)-MIN(ROW('03.Muestra'!$D$8:$D$42))+1,""),ROW()-1424)),"")</f>
        <v>https://www.portcastello.com/</v>
      </c>
      <c r="D1428" s="130" t="s">
        <v>37</v>
      </c>
      <c r="E1428" s="107" t="str">
        <f t="shared" si="74"/>
        <v/>
      </c>
      <c r="G1428" s="19"/>
      <c r="H1428" s="19"/>
      <c r="I1428" s="19"/>
      <c r="J1428" s="19"/>
      <c r="K1428" s="233"/>
      <c r="L1428" s="19"/>
    </row>
    <row r="1429" spans="1:12" ht="12" customHeight="1">
      <c r="A1429" s="219" t="n" cm="1">
        <f t="array" ref="A1429">IFERROR(INDEX('03.Muestra'!$B$8:$B$42,SMALL(IF("Página Web"='03.Muestra'!$D$8:$D$42,ROW('03.Muestra'!$B$8:$B$42)-MIN(ROW('03.Muestra'!$D$8:$D$42))+1,""),ROW()-1424)),"")</f>
        <v>1.0</v>
      </c>
      <c r="B1429" s="114" t="str" cm="1">
        <f t="array" ref="B1429">IFERROR(INDEX('03.Muestra'!$C$8:$C$42,SMALL(IF("Página Web"='03.Muestra'!$D$8:$D$42,ROW('03.Muestra'!$C$8:$C$42)-MIN(ROW('03.Muestra'!$D$8:$D$42))+1,""),ROW()-1424)),"")</f>
        <v>Home - PortCastelló</v>
      </c>
      <c r="C1429" s="114" t="str" cm="1">
        <f t="array" ref="C1429">IFERROR(INDEX('03.Muestra'!$F$8:$F$42,SMALL(IF("Página Web"='03.Muestra'!$D$8:$D$42,ROW('03.Muestra'!$F$8:$F$42)-MIN(ROW('03.Muestra'!$D$8:$D$42))+1,""),ROW()-1424)),"")</f>
        <v>https://www.portcastello.com/</v>
      </c>
      <c r="D1429" s="130" t="s">
        <v>37</v>
      </c>
      <c r="E1429" s="107" t="str">
        <f t="shared" si="74"/>
        <v/>
      </c>
      <c r="G1429" s="19"/>
      <c r="H1429" s="19"/>
      <c r="I1429" s="19"/>
      <c r="J1429" s="19"/>
      <c r="K1429" s="233"/>
      <c r="L1429" s="19"/>
    </row>
    <row r="1430" spans="1:12" ht="12" customHeight="1">
      <c r="A1430" s="219" t="n" cm="1">
        <f t="array" ref="A1430">IFERROR(INDEX('03.Muestra'!$B$8:$B$42,SMALL(IF("Página Web"='03.Muestra'!$D$8:$D$42,ROW('03.Muestra'!$B$8:$B$42)-MIN(ROW('03.Muestra'!$D$8:$D$42))+1,""),ROW()-1424)),"")</f>
        <v>1.0</v>
      </c>
      <c r="B1430" s="114" t="str" cm="1">
        <f t="array" ref="B1430">IFERROR(INDEX('03.Muestra'!$C$8:$C$42,SMALL(IF("Página Web"='03.Muestra'!$D$8:$D$42,ROW('03.Muestra'!$C$8:$C$42)-MIN(ROW('03.Muestra'!$D$8:$D$42))+1,""),ROW()-1424)),"")</f>
        <v>Home - PortCastelló</v>
      </c>
      <c r="C1430" s="114" t="str" cm="1">
        <f t="array" ref="C1430">IFERROR(INDEX('03.Muestra'!$F$8:$F$42,SMALL(IF("Página Web"='03.Muestra'!$D$8:$D$42,ROW('03.Muestra'!$F$8:$F$42)-MIN(ROW('03.Muestra'!$D$8:$D$42))+1,""),ROW()-1424)),"")</f>
        <v>https://www.portcastello.com/</v>
      </c>
      <c r="D1430" s="130" t="s">
        <v>37</v>
      </c>
      <c r="E1430" s="107" t="str">
        <f t="shared" si="74"/>
        <v/>
      </c>
      <c r="G1430" s="19"/>
      <c r="H1430" s="19"/>
      <c r="I1430" s="19"/>
      <c r="J1430" s="19"/>
      <c r="K1430" s="233"/>
      <c r="L1430" s="19"/>
    </row>
    <row r="1431" spans="1:12" ht="12" customHeight="1">
      <c r="A1431" s="219" t="n" cm="1">
        <f t="array" ref="A1431">IFERROR(INDEX('03.Muestra'!$B$8:$B$42,SMALL(IF("Página Web"='03.Muestra'!$D$8:$D$42,ROW('03.Muestra'!$B$8:$B$42)-MIN(ROW('03.Muestra'!$D$8:$D$42))+1,""),ROW()-1424)),"")</f>
        <v>1.0</v>
      </c>
      <c r="B1431" s="114" t="str" cm="1">
        <f t="array" ref="B1431">IFERROR(INDEX('03.Muestra'!$C$8:$C$42,SMALL(IF("Página Web"='03.Muestra'!$D$8:$D$42,ROW('03.Muestra'!$C$8:$C$42)-MIN(ROW('03.Muestra'!$D$8:$D$42))+1,""),ROW()-1424)),"")</f>
        <v>Home - PortCastelló</v>
      </c>
      <c r="C1431" s="114" t="str" cm="1">
        <f t="array" ref="C1431">IFERROR(INDEX('03.Muestra'!$F$8:$F$42,SMALL(IF("Página Web"='03.Muestra'!$D$8:$D$42,ROW('03.Muestra'!$F$8:$F$42)-MIN(ROW('03.Muestra'!$D$8:$D$42))+1,""),ROW()-1424)),"")</f>
        <v>https://www.portcastello.com/</v>
      </c>
      <c r="D1431" s="130" t="s">
        <v>37</v>
      </c>
      <c r="E1431" s="107" t="str">
        <f t="shared" si="74"/>
        <v/>
      </c>
      <c r="F1431" s="19"/>
      <c r="G1431" s="19"/>
      <c r="H1431" s="19"/>
      <c r="I1431" s="19"/>
      <c r="J1431" s="19"/>
      <c r="K1431" s="233"/>
      <c r="L1431" s="19"/>
    </row>
    <row r="1432" spans="1:12" ht="12" customHeight="1">
      <c r="A1432" s="219" t="n" cm="1">
        <f t="array" ref="A1432">IFERROR(INDEX('03.Muestra'!$B$8:$B$42,SMALL(IF("Página Web"='03.Muestra'!$D$8:$D$42,ROW('03.Muestra'!$B$8:$B$42)-MIN(ROW('03.Muestra'!$D$8:$D$42))+1,""),ROW()-1424)),"")</f>
        <v>1.0</v>
      </c>
      <c r="B1432" s="114" t="str" cm="1">
        <f t="array" ref="B1432">IFERROR(INDEX('03.Muestra'!$C$8:$C$42,SMALL(IF("Página Web"='03.Muestra'!$D$8:$D$42,ROW('03.Muestra'!$C$8:$C$42)-MIN(ROW('03.Muestra'!$D$8:$D$42))+1,""),ROW()-1424)),"")</f>
        <v>Home - PortCastelló</v>
      </c>
      <c r="C1432" s="114" t="str" cm="1">
        <f t="array" ref="C1432">IFERROR(INDEX('03.Muestra'!$F$8:$F$42,SMALL(IF("Página Web"='03.Muestra'!$D$8:$D$42,ROW('03.Muestra'!$F$8:$F$42)-MIN(ROW('03.Muestra'!$D$8:$D$42))+1,""),ROW()-1424)),"")</f>
        <v>https://www.portcastello.com/</v>
      </c>
      <c r="D1432" s="130" t="s">
        <v>37</v>
      </c>
      <c r="E1432" s="107" t="str">
        <f t="shared" si="74"/>
        <v/>
      </c>
      <c r="F1432" s="19"/>
      <c r="G1432" s="19"/>
      <c r="H1432" s="19"/>
      <c r="I1432" s="19"/>
      <c r="J1432" s="19"/>
      <c r="K1432" s="233"/>
      <c r="L1432" s="19"/>
    </row>
    <row r="1433" spans="1:12" ht="12" customHeight="1">
      <c r="A1433" s="219" t="n" cm="1">
        <f t="array" ref="A1433">IFERROR(INDEX('03.Muestra'!$B$8:$B$42,SMALL(IF("Página Web"='03.Muestra'!$D$8:$D$42,ROW('03.Muestra'!$B$8:$B$42)-MIN(ROW('03.Muestra'!$D$8:$D$42))+1,""),ROW()-1424)),"")</f>
        <v>1.0</v>
      </c>
      <c r="B1433" s="114" t="str" cm="1">
        <f t="array" ref="B1433">IFERROR(INDEX('03.Muestra'!$C$8:$C$42,SMALL(IF("Página Web"='03.Muestra'!$D$8:$D$42,ROW('03.Muestra'!$C$8:$C$42)-MIN(ROW('03.Muestra'!$D$8:$D$42))+1,""),ROW()-1424)),"")</f>
        <v>Home - PortCastelló</v>
      </c>
      <c r="C1433" s="114" t="str" cm="1">
        <f t="array" ref="C1433">IFERROR(INDEX('03.Muestra'!$F$8:$F$42,SMALL(IF("Página Web"='03.Muestra'!$D$8:$D$42,ROW('03.Muestra'!$F$8:$F$42)-MIN(ROW('03.Muestra'!$D$8:$D$42))+1,""),ROW()-1424)),"")</f>
        <v>https://www.portcastello.com/</v>
      </c>
      <c r="D1433" s="130" t="s">
        <v>37</v>
      </c>
      <c r="E1433" s="107" t="str">
        <f t="shared" si="74"/>
        <v/>
      </c>
      <c r="F1433" s="19"/>
      <c r="G1433" s="19"/>
      <c r="H1433" s="19"/>
      <c r="I1433" s="19"/>
      <c r="J1433" s="19"/>
      <c r="K1433" s="233"/>
      <c r="L1433" s="19"/>
    </row>
    <row r="1434" spans="1:12" ht="12" customHeight="1">
      <c r="A1434" s="219" t="n"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Home - PortCastelló</v>
      </c>
      <c r="C1434" s="114" t="str" cm="1">
        <f t="array" ref="C1434">IFERROR(INDEX('03.Muestra'!$F$8:$F$42,SMALL(IF("Página Web"='03.Muestra'!$D$8:$D$42,ROW('03.Muestra'!$F$8:$F$42)-MIN(ROW('03.Muestra'!$D$8:$D$42))+1,""),ROW()-1424)),"")</f>
        <v>https://www.portcastello.com/</v>
      </c>
      <c r="D1434" s="130" t="s">
        <v>28</v>
      </c>
      <c r="E1434" s="107" t="str">
        <f t="shared" si="74"/>
        <v/>
      </c>
      <c r="F1434" s="19"/>
      <c r="G1434" s="19"/>
      <c r="H1434" s="19"/>
      <c r="I1434" s="19"/>
      <c r="J1434" s="19"/>
      <c r="K1434" s="233"/>
      <c r="L1434" s="19"/>
    </row>
    <row r="1435" spans="1:12" ht="12" customHeight="1">
      <c r="A1435" s="219" t="n" cm="1">
        <f t="array" ref="A1435">IFERROR(INDEX('03.Muestra'!$B$8:$B$42,SMALL(IF("Página Web"='03.Muestra'!$D$8:$D$42,ROW('03.Muestra'!$B$8:$B$42)-MIN(ROW('03.Muestra'!$D$8:$D$42))+1,""),ROW()-1424)),"")</f>
        <v>1.0</v>
      </c>
      <c r="B1435" s="114" t="str" cm="1">
        <f t="array" ref="B1435">IFERROR(INDEX('03.Muestra'!$C$8:$C$42,SMALL(IF("Página Web"='03.Muestra'!$D$8:$D$42,ROW('03.Muestra'!$C$8:$C$42)-MIN(ROW('03.Muestra'!$D$8:$D$42))+1,""),ROW()-1424)),"")</f>
        <v>Home - PortCastelló</v>
      </c>
      <c r="C1435" s="114" t="str" cm="1">
        <f t="array" ref="C1435">IFERROR(INDEX('03.Muestra'!$F$8:$F$42,SMALL(IF("Página Web"='03.Muestra'!$D$8:$D$42,ROW('03.Muestra'!$F$8:$F$42)-MIN(ROW('03.Muestra'!$D$8:$D$42))+1,""),ROW()-1424)),"")</f>
        <v>https://www.portcastello.com/</v>
      </c>
      <c r="D1435" s="130" t="s">
        <v>37</v>
      </c>
      <c r="E1435" s="107" t="str">
        <f t="shared" si="74"/>
        <v/>
      </c>
      <c r="F1435" s="19"/>
      <c r="G1435" s="19"/>
      <c r="H1435" s="19"/>
      <c r="I1435" s="19"/>
      <c r="J1435" s="19"/>
      <c r="K1435" s="233"/>
      <c r="L1435" s="19"/>
    </row>
    <row r="1436" spans="1:12" ht="12" customHeight="1">
      <c r="A1436" s="219" t="n" cm="1">
        <f t="array" ref="A1436">IFERROR(INDEX('03.Muestra'!$B$8:$B$42,SMALL(IF("Página Web"='03.Muestra'!$D$8:$D$42,ROW('03.Muestra'!$B$8:$B$42)-MIN(ROW('03.Muestra'!$D$8:$D$42))+1,""),ROW()-1424)),"")</f>
        <v>1.0</v>
      </c>
      <c r="B1436" s="114" t="str" cm="1">
        <f t="array" ref="B1436">IFERROR(INDEX('03.Muestra'!$C$8:$C$42,SMALL(IF("Página Web"='03.Muestra'!$D$8:$D$42,ROW('03.Muestra'!$C$8:$C$42)-MIN(ROW('03.Muestra'!$D$8:$D$42))+1,""),ROW()-1424)),"")</f>
        <v>Home - PortCastelló</v>
      </c>
      <c r="C1436" s="114" t="str" cm="1">
        <f t="array" ref="C1436">IFERROR(INDEX('03.Muestra'!$F$8:$F$42,SMALL(IF("Página Web"='03.Muestra'!$D$8:$D$42,ROW('03.Muestra'!$F$8:$F$42)-MIN(ROW('03.Muestra'!$D$8:$D$42))+1,""),ROW()-1424)),"")</f>
        <v>https://www.portcastello.com/</v>
      </c>
      <c r="D1436" s="130" t="s">
        <v>37</v>
      </c>
      <c r="E1436" s="107" t="str">
        <f t="shared" si="74"/>
        <v/>
      </c>
      <c r="F1436" s="19"/>
      <c r="G1436" s="19"/>
      <c r="H1436" s="19"/>
      <c r="I1436" s="19"/>
      <c r="J1436" s="19"/>
      <c r="K1436" s="233"/>
      <c r="L1436" s="19"/>
    </row>
    <row r="1437" spans="1:12" ht="12" customHeight="1">
      <c r="A1437" s="219" t="n" cm="1">
        <f t="array" ref="A1437">IFERROR(INDEX('03.Muestra'!$B$8:$B$42,SMALL(IF("Página Web"='03.Muestra'!$D$8:$D$42,ROW('03.Muestra'!$B$8:$B$42)-MIN(ROW('03.Muestra'!$D$8:$D$42))+1,""),ROW()-1424)),"")</f>
        <v>1.0</v>
      </c>
      <c r="B1437" s="114" t="str" cm="1">
        <f t="array" ref="B1437">IFERROR(INDEX('03.Muestra'!$C$8:$C$42,SMALL(IF("Página Web"='03.Muestra'!$D$8:$D$42,ROW('03.Muestra'!$C$8:$C$42)-MIN(ROW('03.Muestra'!$D$8:$D$42))+1,""),ROW()-1424)),"")</f>
        <v>Home - PortCastelló</v>
      </c>
      <c r="C1437" s="114" t="str" cm="1">
        <f t="array" ref="C1437">IFERROR(INDEX('03.Muestra'!$F$8:$F$42,SMALL(IF("Página Web"='03.Muestra'!$D$8:$D$42,ROW('03.Muestra'!$F$8:$F$42)-MIN(ROW('03.Muestra'!$D$8:$D$42))+1,""),ROW()-1424)),"")</f>
        <v>https://www.portcastello.com/</v>
      </c>
      <c r="D1437" s="130" t="s">
        <v>37</v>
      </c>
      <c r="E1437" s="107" t="str">
        <f t="shared" si="74"/>
        <v/>
      </c>
      <c r="F1437" s="19"/>
      <c r="G1437" s="19"/>
      <c r="H1437" s="19"/>
      <c r="I1437" s="19"/>
      <c r="J1437" s="19"/>
      <c r="K1437" s="233"/>
      <c r="L1437" s="19"/>
    </row>
    <row r="1438" spans="1:12" ht="12" customHeight="1">
      <c r="A1438" s="219" t="n" cm="1">
        <f t="array" ref="A1438">IFERROR(INDEX('03.Muestra'!$B$8:$B$42,SMALL(IF("Página Web"='03.Muestra'!$D$8:$D$42,ROW('03.Muestra'!$B$8:$B$42)-MIN(ROW('03.Muestra'!$D$8:$D$42))+1,""),ROW()-1424)),"")</f>
        <v>1.0</v>
      </c>
      <c r="B1438" s="114" t="str" cm="1">
        <f t="array" ref="B1438">IFERROR(INDEX('03.Muestra'!$C$8:$C$42,SMALL(IF("Página Web"='03.Muestra'!$D$8:$D$42,ROW('03.Muestra'!$C$8:$C$42)-MIN(ROW('03.Muestra'!$D$8:$D$42))+1,""),ROW()-1424)),"")</f>
        <v>Home - PortCastelló</v>
      </c>
      <c r="C1438" s="114" t="str" cm="1">
        <f t="array" ref="C1438">IFERROR(INDEX('03.Muestra'!$F$8:$F$42,SMALL(IF("Página Web"='03.Muestra'!$D$8:$D$42,ROW('03.Muestra'!$F$8:$F$42)-MIN(ROW('03.Muestra'!$D$8:$D$42))+1,""),ROW()-1424)),"")</f>
        <v>https://www.portcastello.com/</v>
      </c>
      <c r="D1438" s="130" t="s">
        <v>37</v>
      </c>
      <c r="E1438" s="107" t="str">
        <f t="shared" si="74"/>
        <v/>
      </c>
      <c r="F1438" s="19"/>
      <c r="G1438" s="19"/>
      <c r="H1438" s="19"/>
      <c r="I1438" s="19"/>
      <c r="J1438" s="19"/>
      <c r="K1438" s="233"/>
      <c r="L1438" s="19"/>
    </row>
    <row r="1439" spans="1:12" ht="12" customHeight="1">
      <c r="A1439" s="219" t="n" cm="1">
        <f t="array" ref="A1439">IFERROR(INDEX('03.Muestra'!$B$8:$B$42,SMALL(IF("Página Web"='03.Muestra'!$D$8:$D$42,ROW('03.Muestra'!$B$8:$B$42)-MIN(ROW('03.Muestra'!$D$8:$D$42))+1,""),ROW()-1424)),"")</f>
        <v>1.0</v>
      </c>
      <c r="B1439" s="114" t="str" cm="1">
        <f t="array" ref="B1439">IFERROR(INDEX('03.Muestra'!$C$8:$C$42,SMALL(IF("Página Web"='03.Muestra'!$D$8:$D$42,ROW('03.Muestra'!$C$8:$C$42)-MIN(ROW('03.Muestra'!$D$8:$D$42))+1,""),ROW()-1424)),"")</f>
        <v>Home - PortCastelló</v>
      </c>
      <c r="C1439" s="114" t="str" cm="1">
        <f t="array" ref="C1439">IFERROR(INDEX('03.Muestra'!$F$8:$F$42,SMALL(IF("Página Web"='03.Muestra'!$D$8:$D$42,ROW('03.Muestra'!$F$8:$F$42)-MIN(ROW('03.Muestra'!$D$8:$D$42))+1,""),ROW()-1424)),"")</f>
        <v>https://www.portcastello.com/</v>
      </c>
      <c r="D1439" s="130" t="s">
        <v>37</v>
      </c>
      <c r="E1439" s="107" t="str">
        <f t="shared" si="74"/>
        <v/>
      </c>
      <c r="F1439" s="19"/>
      <c r="G1439" s="19"/>
      <c r="H1439" s="19"/>
      <c r="I1439" s="19"/>
      <c r="J1439" s="19"/>
      <c r="K1439" s="233"/>
      <c r="L1439" s="19"/>
    </row>
    <row r="1440" spans="1:12" ht="12" customHeight="1">
      <c r="A1440" s="219" t="n" cm="1">
        <f t="array" ref="A1440">IFERROR(INDEX('03.Muestra'!$B$8:$B$42,SMALL(IF("Página Web"='03.Muestra'!$D$8:$D$42,ROW('03.Muestra'!$B$8:$B$42)-MIN(ROW('03.Muestra'!$D$8:$D$42))+1,""),ROW()-1424)),"")</f>
        <v>1.0</v>
      </c>
      <c r="B1440" s="114" t="str" cm="1">
        <f t="array" ref="B1440">IFERROR(INDEX('03.Muestra'!$C$8:$C$42,SMALL(IF("Página Web"='03.Muestra'!$D$8:$D$42,ROW('03.Muestra'!$C$8:$C$42)-MIN(ROW('03.Muestra'!$D$8:$D$42))+1,""),ROW()-1424)),"")</f>
        <v>Home - PortCastelló</v>
      </c>
      <c r="C1440" s="114" t="str" cm="1">
        <f t="array" ref="C1440">IFERROR(INDEX('03.Muestra'!$F$8:$F$42,SMALL(IF("Página Web"='03.Muestra'!$D$8:$D$42,ROW('03.Muestra'!$F$8:$F$42)-MIN(ROW('03.Muestra'!$D$8:$D$42))+1,""),ROW()-1424)),"")</f>
        <v>https://www.portcastello.com/</v>
      </c>
      <c r="D1440" s="130" t="s">
        <v>37</v>
      </c>
      <c r="E1440" s="107" t="str">
        <f t="shared" si="74"/>
        <v/>
      </c>
      <c r="F1440" s="19"/>
      <c r="G1440" s="19"/>
      <c r="H1440" s="19"/>
      <c r="I1440" s="19"/>
      <c r="J1440" s="19"/>
      <c r="K1440" s="233"/>
      <c r="L1440" s="19"/>
    </row>
    <row r="1441" spans="1:12" ht="12" customHeight="1">
      <c r="A1441" s="219" t="n" cm="1">
        <f t="array" ref="A1441">IFERROR(INDEX('03.Muestra'!$B$8:$B$42,SMALL(IF("Página Web"='03.Muestra'!$D$8:$D$42,ROW('03.Muestra'!$B$8:$B$42)-MIN(ROW('03.Muestra'!$D$8:$D$42))+1,""),ROW()-1424)),"")</f>
        <v>1.0</v>
      </c>
      <c r="B1441" s="114" t="str" cm="1">
        <f t="array" ref="B1441">IFERROR(INDEX('03.Muestra'!$C$8:$C$42,SMALL(IF("Página Web"='03.Muestra'!$D$8:$D$42,ROW('03.Muestra'!$C$8:$C$42)-MIN(ROW('03.Muestra'!$D$8:$D$42))+1,""),ROW()-1424)),"")</f>
        <v>Home - PortCastelló</v>
      </c>
      <c r="C1441" s="114" t="str" cm="1">
        <f t="array" ref="C1441">IFERROR(INDEX('03.Muestra'!$F$8:$F$42,SMALL(IF("Página Web"='03.Muestra'!$D$8:$D$42,ROW('03.Muestra'!$F$8:$F$42)-MIN(ROW('03.Muestra'!$D$8:$D$42))+1,""),ROW()-1424)),"")</f>
        <v>https://www.portcastello.com/</v>
      </c>
      <c r="D1441" s="130" t="s">
        <v>37</v>
      </c>
      <c r="E1441" s="107" t="str">
        <f t="shared" si="74"/>
        <v/>
      </c>
      <c r="F1441" s="19"/>
      <c r="G1441" s="19"/>
      <c r="H1441" s="19"/>
      <c r="I1441" s="19"/>
      <c r="J1441" s="19"/>
      <c r="K1441" s="233"/>
      <c r="L1441" s="19"/>
    </row>
    <row r="1442" spans="1:12" ht="12" customHeight="1">
      <c r="A1442" s="219" t="n" cm="1">
        <f t="array" ref="A1442">IFERROR(INDEX('03.Muestra'!$B$8:$B$42,SMALL(IF("Página Web"='03.Muestra'!$D$8:$D$42,ROW('03.Muestra'!$B$8:$B$42)-MIN(ROW('03.Muestra'!$D$8:$D$42))+1,""),ROW()-1424)),"")</f>
        <v>1.0</v>
      </c>
      <c r="B1442" s="114" t="str" cm="1">
        <f t="array" ref="B1442">IFERROR(INDEX('03.Muestra'!$C$8:$C$42,SMALL(IF("Página Web"='03.Muestra'!$D$8:$D$42,ROW('03.Muestra'!$C$8:$C$42)-MIN(ROW('03.Muestra'!$D$8:$D$42))+1,""),ROW()-1424)),"")</f>
        <v>Home - PortCastelló</v>
      </c>
      <c r="C1442" s="114" t="str" cm="1">
        <f t="array" ref="C1442">IFERROR(INDEX('03.Muestra'!$F$8:$F$42,SMALL(IF("Página Web"='03.Muestra'!$D$8:$D$42,ROW('03.Muestra'!$F$8:$F$42)-MIN(ROW('03.Muestra'!$D$8:$D$42))+1,""),ROW()-1424)),"")</f>
        <v>https://www.portcastello.com/</v>
      </c>
      <c r="D1442" s="130" t="s">
        <v>37</v>
      </c>
      <c r="E1442" s="107" t="str">
        <f t="shared" si="74"/>
        <v/>
      </c>
      <c r="F1442" s="19"/>
      <c r="G1442" s="19"/>
      <c r="H1442" s="19"/>
      <c r="I1442" s="19"/>
      <c r="J1442" s="19"/>
      <c r="K1442" s="233"/>
      <c r="L1442" s="19"/>
    </row>
    <row r="1443" spans="1:12" ht="12" customHeight="1">
      <c r="A1443" s="219" t="n" cm="1">
        <f t="array" ref="A1443">IFERROR(INDEX('03.Muestra'!$B$8:$B$42,SMALL(IF("Página Web"='03.Muestra'!$D$8:$D$42,ROW('03.Muestra'!$B$8:$B$42)-MIN(ROW('03.Muestra'!$D$8:$D$42))+1,""),ROW()-1424)),"")</f>
        <v>1.0</v>
      </c>
      <c r="B1443" s="114" t="str" cm="1">
        <f t="array" ref="B1443">IFERROR(INDEX('03.Muestra'!$C$8:$C$42,SMALL(IF("Página Web"='03.Muestra'!$D$8:$D$42,ROW('03.Muestra'!$C$8:$C$42)-MIN(ROW('03.Muestra'!$D$8:$D$42))+1,""),ROW()-1424)),"")</f>
        <v>Home - PortCastelló</v>
      </c>
      <c r="C1443" s="114" t="str" cm="1">
        <f t="array" ref="C1443">IFERROR(INDEX('03.Muestra'!$F$8:$F$42,SMALL(IF("Página Web"='03.Muestra'!$D$8:$D$42,ROW('03.Muestra'!$F$8:$F$42)-MIN(ROW('03.Muestra'!$D$8:$D$42))+1,""),ROW()-1424)),"")</f>
        <v>https://www.portcastello.com/</v>
      </c>
      <c r="D1443" s="130" t="s">
        <v>37</v>
      </c>
      <c r="E1443" s="107" t="str">
        <f t="shared" si="74"/>
        <v/>
      </c>
      <c r="F1443" s="19"/>
      <c r="G1443" s="19"/>
      <c r="H1443" s="19"/>
      <c r="I1443" s="19"/>
      <c r="J1443" s="19"/>
      <c r="K1443" s="233"/>
      <c r="L1443" s="19"/>
    </row>
    <row r="1444" spans="1:12" ht="12" customHeight="1">
      <c r="A1444" s="219" t="n" cm="1">
        <f t="array" ref="A1444">IFERROR(INDEX('03.Muestra'!$B$8:$B$42,SMALL(IF("Página Web"='03.Muestra'!$D$8:$D$42,ROW('03.Muestra'!$B$8:$B$42)-MIN(ROW('03.Muestra'!$D$8:$D$42))+1,""),ROW()-1424)),"")</f>
        <v>1.0</v>
      </c>
      <c r="B1444" s="114" t="str" cm="1">
        <f t="array" ref="B1444">IFERROR(INDEX('03.Muestra'!$C$8:$C$42,SMALL(IF("Página Web"='03.Muestra'!$D$8:$D$42,ROW('03.Muestra'!$C$8:$C$42)-MIN(ROW('03.Muestra'!$D$8:$D$42))+1,""),ROW()-1424)),"")</f>
        <v>Home - PortCastelló</v>
      </c>
      <c r="C1444" s="114" t="str" cm="1">
        <f t="array" ref="C1444">IFERROR(INDEX('03.Muestra'!$F$8:$F$42,SMALL(IF("Página Web"='03.Muestra'!$D$8:$D$42,ROW('03.Muestra'!$F$8:$F$42)-MIN(ROW('03.Muestra'!$D$8:$D$42))+1,""),ROW()-1424)),"")</f>
        <v>https://www.portcastello.com/</v>
      </c>
      <c r="D1444" s="130" t="s">
        <v>37</v>
      </c>
      <c r="E1444" s="107" t="str">
        <f t="shared" si="74"/>
        <v/>
      </c>
      <c r="F1444" s="19"/>
      <c r="G1444" s="19"/>
      <c r="H1444" s="19"/>
      <c r="I1444" s="19"/>
      <c r="J1444" s="19"/>
      <c r="K1444" s="233"/>
      <c r="L1444" s="19"/>
    </row>
    <row r="1445" spans="1:12" ht="12" customHeight="1">
      <c r="A1445" s="219" t="n" cm="1">
        <f t="array" ref="A1445">IFERROR(INDEX('03.Muestra'!$B$8:$B$42,SMALL(IF("Página Web"='03.Muestra'!$D$8:$D$42,ROW('03.Muestra'!$B$8:$B$42)-MIN(ROW('03.Muestra'!$D$8:$D$42))+1,""),ROW()-1424)),"")</f>
        <v>1.0</v>
      </c>
      <c r="B1445" s="114" t="str" cm="1">
        <f t="array" ref="B1445">IFERROR(INDEX('03.Muestra'!$C$8:$C$42,SMALL(IF("Página Web"='03.Muestra'!$D$8:$D$42,ROW('03.Muestra'!$C$8:$C$42)-MIN(ROW('03.Muestra'!$D$8:$D$42))+1,""),ROW()-1424)),"")</f>
        <v>Home - PortCastelló</v>
      </c>
      <c r="C1445" s="114" t="str" cm="1">
        <f t="array" ref="C1445">IFERROR(INDEX('03.Muestra'!$F$8:$F$42,SMALL(IF("Página Web"='03.Muestra'!$D$8:$D$42,ROW('03.Muestra'!$F$8:$F$42)-MIN(ROW('03.Muestra'!$D$8:$D$42))+1,""),ROW()-1424)),"")</f>
        <v>https://www.portcastello.com/</v>
      </c>
      <c r="D1445" s="130" t="s">
        <v>37</v>
      </c>
      <c r="E1445" s="107" t="str">
        <f t="shared" si="74"/>
        <v/>
      </c>
      <c r="F1445" s="19"/>
      <c r="G1445" s="19"/>
      <c r="H1445" s="19"/>
      <c r="I1445" s="19"/>
      <c r="J1445" s="19"/>
      <c r="K1445" s="233"/>
      <c r="L1445" s="19"/>
    </row>
    <row r="1446" spans="1:12" ht="12" customHeight="1">
      <c r="A1446" s="219" t="n" cm="1">
        <f t="array" ref="A1446">IFERROR(INDEX('03.Muestra'!$B$8:$B$42,SMALL(IF("Página Web"='03.Muestra'!$D$8:$D$42,ROW('03.Muestra'!$B$8:$B$42)-MIN(ROW('03.Muestra'!$D$8:$D$42))+1,""),ROW()-1424)),"")</f>
        <v>1.0</v>
      </c>
      <c r="B1446" s="114" t="str" cm="1">
        <f t="array" ref="B1446">IFERROR(INDEX('03.Muestra'!$C$8:$C$42,SMALL(IF("Página Web"='03.Muestra'!$D$8:$D$42,ROW('03.Muestra'!$C$8:$C$42)-MIN(ROW('03.Muestra'!$D$8:$D$42))+1,""),ROW()-1424)),"")</f>
        <v>Home - PortCastelló</v>
      </c>
      <c r="C1446" s="114" t="str" cm="1">
        <f t="array" ref="C1446">IFERROR(INDEX('03.Muestra'!$F$8:$F$42,SMALL(IF("Página Web"='03.Muestra'!$D$8:$D$42,ROW('03.Muestra'!$F$8:$F$42)-MIN(ROW('03.Muestra'!$D$8:$D$42))+1,""),ROW()-1424)),"")</f>
        <v>https://www.portcastello.com/</v>
      </c>
      <c r="D1446" s="130" t="s">
        <v>37</v>
      </c>
      <c r="E1446" s="107" t="str">
        <f t="shared" si="74"/>
        <v/>
      </c>
      <c r="F1446" s="19"/>
      <c r="G1446" s="19"/>
      <c r="H1446" s="19"/>
      <c r="I1446" s="19"/>
      <c r="J1446" s="19"/>
      <c r="K1446" s="233"/>
      <c r="L1446" s="19"/>
    </row>
    <row r="1447" spans="1:12" ht="12" customHeight="1">
      <c r="A1447" s="219" t="n" cm="1">
        <f t="array" ref="A1447">IFERROR(INDEX('03.Muestra'!$B$8:$B$42,SMALL(IF("Página Web"='03.Muestra'!$D$8:$D$42,ROW('03.Muestra'!$B$8:$B$42)-MIN(ROW('03.Muestra'!$D$8:$D$42))+1,""),ROW()-1424)),"")</f>
        <v>1.0</v>
      </c>
      <c r="B1447" s="114" t="str" cm="1">
        <f t="array" ref="B1447">IFERROR(INDEX('03.Muestra'!$C$8:$C$42,SMALL(IF("Página Web"='03.Muestra'!$D$8:$D$42,ROW('03.Muestra'!$C$8:$C$42)-MIN(ROW('03.Muestra'!$D$8:$D$42))+1,""),ROW()-1424)),"")</f>
        <v>Home - PortCastelló</v>
      </c>
      <c r="C1447" s="114" t="str" cm="1">
        <f t="array" ref="C1447">IFERROR(INDEX('03.Muestra'!$F$8:$F$42,SMALL(IF("Página Web"='03.Muestra'!$D$8:$D$42,ROW('03.Muestra'!$F$8:$F$42)-MIN(ROW('03.Muestra'!$D$8:$D$42))+1,""),ROW()-1424)),"")</f>
        <v>https://www.portcastello.com/</v>
      </c>
      <c r="D1447" s="130" t="s">
        <v>37</v>
      </c>
      <c r="E1447" s="107" t="str">
        <f t="shared" si="74"/>
        <v/>
      </c>
      <c r="F1447" s="19"/>
      <c r="G1447" s="19"/>
      <c r="H1447" s="19"/>
      <c r="I1447" s="19"/>
      <c r="J1447" s="19"/>
      <c r="K1447" s="233"/>
      <c r="L1447" s="19"/>
    </row>
    <row r="1448" spans="1:12" ht="12" customHeight="1">
      <c r="A1448" s="219" t="n" cm="1">
        <f t="array" ref="A1448">IFERROR(INDEX('03.Muestra'!$B$8:$B$42,SMALL(IF("Página Web"='03.Muestra'!$D$8:$D$42,ROW('03.Muestra'!$B$8:$B$42)-MIN(ROW('03.Muestra'!$D$8:$D$42))+1,""),ROW()-1424)),"")</f>
        <v>1.0</v>
      </c>
      <c r="B1448" s="114" t="str" cm="1">
        <f t="array" ref="B1448">IFERROR(INDEX('03.Muestra'!$C$8:$C$42,SMALL(IF("Página Web"='03.Muestra'!$D$8:$D$42,ROW('03.Muestra'!$C$8:$C$42)-MIN(ROW('03.Muestra'!$D$8:$D$42))+1,""),ROW()-1424)),"")</f>
        <v>Home - PortCastelló</v>
      </c>
      <c r="C1448" s="114" t="str" cm="1">
        <f t="array" ref="C1448">IFERROR(INDEX('03.Muestra'!$F$8:$F$42,SMALL(IF("Página Web"='03.Muestra'!$D$8:$D$42,ROW('03.Muestra'!$F$8:$F$42)-MIN(ROW('03.Muestra'!$D$8:$D$42))+1,""),ROW()-1424)),"")</f>
        <v>https://www.portcastello.com/</v>
      </c>
      <c r="D1448" s="130" t="s">
        <v>37</v>
      </c>
      <c r="E1448" s="107" t="str">
        <f t="shared" si="74"/>
        <v/>
      </c>
      <c r="F1448" s="19"/>
      <c r="G1448" s="19"/>
      <c r="H1448" s="19"/>
      <c r="I1448" s="19"/>
      <c r="J1448" s="19"/>
      <c r="K1448" s="233"/>
      <c r="L1448" s="19"/>
    </row>
    <row r="1449" spans="1:12" ht="12" customHeight="1">
      <c r="A1449" s="219" t="n" cm="1">
        <f t="array" ref="A1449">IFERROR(INDEX('03.Muestra'!$B$8:$B$42,SMALL(IF("Página Web"='03.Muestra'!$D$8:$D$42,ROW('03.Muestra'!$B$8:$B$42)-MIN(ROW('03.Muestra'!$D$8:$D$42))+1,""),ROW()-1424)),"")</f>
        <v>1.0</v>
      </c>
      <c r="B1449" s="114" t="str" cm="1">
        <f t="array" ref="B1449">IFERROR(INDEX('03.Muestra'!$C$8:$C$42,SMALL(IF("Página Web"='03.Muestra'!$D$8:$D$42,ROW('03.Muestra'!$C$8:$C$42)-MIN(ROW('03.Muestra'!$D$8:$D$42))+1,""),ROW()-1424)),"")</f>
        <v>Home - PortCastelló</v>
      </c>
      <c r="C1449" s="114" t="str" cm="1">
        <f t="array" ref="C1449">IFERROR(INDEX('03.Muestra'!$F$8:$F$42,SMALL(IF("Página Web"='03.Muestra'!$D$8:$D$42,ROW('03.Muestra'!$F$8:$F$42)-MIN(ROW('03.Muestra'!$D$8:$D$42))+1,""),ROW()-1424)),"")</f>
        <v>https://www.portcastello.com/</v>
      </c>
      <c r="D1449" s="130" t="s">
        <v>37</v>
      </c>
      <c r="E1449" s="107" t="str">
        <f t="shared" si="74"/>
        <v/>
      </c>
      <c r="F1449" s="19"/>
      <c r="G1449" s="19"/>
      <c r="H1449" s="19"/>
      <c r="I1449" s="19"/>
      <c r="J1449" s="19"/>
      <c r="K1449" s="233"/>
      <c r="L1449" s="19"/>
    </row>
    <row r="1450" spans="1:12" ht="12" customHeight="1">
      <c r="A1450" s="219" t="n" cm="1">
        <f t="array" ref="A1450">IFERROR(INDEX('03.Muestra'!$B$8:$B$42,SMALL(IF("Página Web"='03.Muestra'!$D$8:$D$42,ROW('03.Muestra'!$B$8:$B$42)-MIN(ROW('03.Muestra'!$D$8:$D$42))+1,""),ROW()-1424)),"")</f>
        <v>1.0</v>
      </c>
      <c r="B1450" s="114" t="str" cm="1">
        <f t="array" ref="B1450">IFERROR(INDEX('03.Muestra'!$C$8:$C$42,SMALL(IF("Página Web"='03.Muestra'!$D$8:$D$42,ROW('03.Muestra'!$C$8:$C$42)-MIN(ROW('03.Muestra'!$D$8:$D$42))+1,""),ROW()-1424)),"")</f>
        <v>Home - PortCastelló</v>
      </c>
      <c r="C1450" s="114" t="str" cm="1">
        <f t="array" ref="C1450">IFERROR(INDEX('03.Muestra'!$F$8:$F$42,SMALL(IF("Página Web"='03.Muestra'!$D$8:$D$42,ROW('03.Muestra'!$F$8:$F$42)-MIN(ROW('03.Muestra'!$D$8:$D$42))+1,""),ROW()-1424)),"")</f>
        <v>https://www.portcastello.com/</v>
      </c>
      <c r="D1450" s="130" t="s">
        <v>37</v>
      </c>
      <c r="E1450" s="107" t="str">
        <f t="shared" si="74"/>
        <v/>
      </c>
      <c r="F1450" s="19"/>
      <c r="G1450" s="19"/>
      <c r="H1450" s="19"/>
      <c r="I1450" s="19"/>
      <c r="J1450" s="19"/>
      <c r="K1450" s="233"/>
      <c r="L1450" s="19"/>
    </row>
    <row r="1451" spans="1:12" ht="12" customHeight="1">
      <c r="A1451" s="219" t="n" cm="1">
        <f t="array" ref="A1451">IFERROR(INDEX('03.Muestra'!$B$8:$B$42,SMALL(IF("Página Web"='03.Muestra'!$D$8:$D$42,ROW('03.Muestra'!$B$8:$B$42)-MIN(ROW('03.Muestra'!$D$8:$D$42))+1,""),ROW()-1424)),"")</f>
        <v>1.0</v>
      </c>
      <c r="B1451" s="114" t="str" cm="1">
        <f t="array" ref="B1451">IFERROR(INDEX('03.Muestra'!$C$8:$C$42,SMALL(IF("Página Web"='03.Muestra'!$D$8:$D$42,ROW('03.Muestra'!$C$8:$C$42)-MIN(ROW('03.Muestra'!$D$8:$D$42))+1,""),ROW()-1424)),"")</f>
        <v>Home - PortCastelló</v>
      </c>
      <c r="C1451" s="114" t="str" cm="1">
        <f t="array" ref="C1451">IFERROR(INDEX('03.Muestra'!$F$8:$F$42,SMALL(IF("Página Web"='03.Muestra'!$D$8:$D$42,ROW('03.Muestra'!$F$8:$F$42)-MIN(ROW('03.Muestra'!$D$8:$D$42))+1,""),ROW()-1424)),"")</f>
        <v>https://www.portcastello.com/</v>
      </c>
      <c r="D1451" s="130" t="s">
        <v>37</v>
      </c>
      <c r="E1451" s="107" t="str">
        <f t="shared" si="74"/>
        <v/>
      </c>
      <c r="F1451" s="19"/>
      <c r="G1451" s="19"/>
      <c r="H1451" s="19"/>
      <c r="I1451" s="19"/>
      <c r="J1451" s="19"/>
      <c r="K1451" s="233"/>
      <c r="L1451" s="19"/>
    </row>
    <row r="1452" spans="1:12" ht="12" customHeight="1">
      <c r="A1452" s="219" t="n" cm="1">
        <f t="array" ref="A1452">IFERROR(INDEX('03.Muestra'!$B$8:$B$42,SMALL(IF("Página Web"='03.Muestra'!$D$8:$D$42,ROW('03.Muestra'!$B$8:$B$42)-MIN(ROW('03.Muestra'!$D$8:$D$42))+1,""),ROW()-1424)),"")</f>
        <v>1.0</v>
      </c>
      <c r="B1452" s="114" t="str" cm="1">
        <f t="array" ref="B1452">IFERROR(INDEX('03.Muestra'!$C$8:$C$42,SMALL(IF("Página Web"='03.Muestra'!$D$8:$D$42,ROW('03.Muestra'!$C$8:$C$42)-MIN(ROW('03.Muestra'!$D$8:$D$42))+1,""),ROW()-1424)),"")</f>
        <v>Home - PortCastelló</v>
      </c>
      <c r="C1452" s="114" t="str" cm="1">
        <f t="array" ref="C1452">IFERROR(INDEX('03.Muestra'!$F$8:$F$42,SMALL(IF("Página Web"='03.Muestra'!$D$8:$D$42,ROW('03.Muestra'!$F$8:$F$42)-MIN(ROW('03.Muestra'!$D$8:$D$42))+1,""),ROW()-1424)),"")</f>
        <v>https://www.portcastello.com/</v>
      </c>
      <c r="D1452" s="130" t="s">
        <v>37</v>
      </c>
      <c r="E1452" s="107" t="str">
        <f t="shared" si="74"/>
        <v/>
      </c>
      <c r="G1452" s="19"/>
      <c r="H1452" s="19"/>
      <c r="I1452" s="19"/>
      <c r="J1452" s="19"/>
      <c r="K1452" s="233"/>
      <c r="L1452" s="19"/>
    </row>
    <row r="1453" spans="1:12" ht="12" customHeight="1">
      <c r="A1453" s="219" t="n" cm="1">
        <f t="array" ref="A1453">IFERROR(INDEX('03.Muestra'!$B$8:$B$42,SMALL(IF("Página Web"='03.Muestra'!$D$8:$D$42,ROW('03.Muestra'!$B$8:$B$42)-MIN(ROW('03.Muestra'!$D$8:$D$42))+1,""),ROW()-1424)),"")</f>
        <v>1.0</v>
      </c>
      <c r="B1453" s="114" t="str" cm="1">
        <f t="array" ref="B1453">IFERROR(INDEX('03.Muestra'!$C$8:$C$42,SMALL(IF("Página Web"='03.Muestra'!$D$8:$D$42,ROW('03.Muestra'!$C$8:$C$42)-MIN(ROW('03.Muestra'!$D$8:$D$42))+1,""),ROW()-1424)),"")</f>
        <v>Home - PortCastelló</v>
      </c>
      <c r="C1453" s="114" t="str" cm="1">
        <f t="array" ref="C1453">IFERROR(INDEX('03.Muestra'!$F$8:$F$42,SMALL(IF("Página Web"='03.Muestra'!$D$8:$D$42,ROW('03.Muestra'!$F$8:$F$42)-MIN(ROW('03.Muestra'!$D$8:$D$42))+1,""),ROW()-1424)),"")</f>
        <v>https://www.portcastello.com/</v>
      </c>
      <c r="D1453" s="130" t="s">
        <v>37</v>
      </c>
      <c r="E1453" s="107" t="str">
        <f t="shared" si="74"/>
        <v/>
      </c>
      <c r="F1453" s="124"/>
      <c r="G1453" s="19"/>
      <c r="H1453" s="19"/>
      <c r="I1453" s="19"/>
      <c r="J1453" s="19"/>
      <c r="K1453" s="233"/>
      <c r="L1453" s="19"/>
    </row>
    <row r="1454" spans="1:12" ht="12" customHeight="1">
      <c r="A1454" s="219" t="n" cm="1">
        <f t="array" ref="A1454">IFERROR(INDEX('03.Muestra'!$B$8:$B$42,SMALL(IF("Página Web"='03.Muestra'!$D$8:$D$42,ROW('03.Muestra'!$B$8:$B$42)-MIN(ROW('03.Muestra'!$D$8:$D$42))+1,""),ROW()-1424)),"")</f>
        <v>1.0</v>
      </c>
      <c r="B1454" s="114" t="str" cm="1">
        <f t="array" ref="B1454">IFERROR(INDEX('03.Muestra'!$C$8:$C$42,SMALL(IF("Página Web"='03.Muestra'!$D$8:$D$42,ROW('03.Muestra'!$C$8:$C$42)-MIN(ROW('03.Muestra'!$D$8:$D$42))+1,""),ROW()-1424)),"")</f>
        <v>Home - PortCastelló</v>
      </c>
      <c r="C1454" s="114" t="str" cm="1">
        <f t="array" ref="C1454">IFERROR(INDEX('03.Muestra'!$F$8:$F$42,SMALL(IF("Página Web"='03.Muestra'!$D$8:$D$42,ROW('03.Muestra'!$F$8:$F$42)-MIN(ROW('03.Muestra'!$D$8:$D$42))+1,""),ROW()-1424)),"")</f>
        <v>https://www.portcastello.com/</v>
      </c>
      <c r="D1454" s="130" t="s">
        <v>37</v>
      </c>
      <c r="E1454" s="107" t="str">
        <f t="shared" si="74"/>
        <v/>
      </c>
      <c r="F1454" s="124"/>
      <c r="G1454" s="19"/>
      <c r="H1454" s="19"/>
      <c r="I1454" s="19"/>
      <c r="J1454" s="19"/>
      <c r="K1454" s="233"/>
      <c r="L1454" s="19"/>
    </row>
    <row r="1455" spans="1:12" ht="12" customHeight="1">
      <c r="A1455" s="219" t="n" cm="1">
        <f t="array" ref="A1455">IFERROR(INDEX('03.Muestra'!$B$8:$B$42,SMALL(IF("Página Web"='03.Muestra'!$D$8:$D$42,ROW('03.Muestra'!$B$8:$B$42)-MIN(ROW('03.Muestra'!$D$8:$D$42))+1,""),ROW()-1424)),"")</f>
        <v>1.0</v>
      </c>
      <c r="B1455" s="114" t="str" cm="1">
        <f t="array" ref="B1455">IFERROR(INDEX('03.Muestra'!$C$8:$C$42,SMALL(IF("Página Web"='03.Muestra'!$D$8:$D$42,ROW('03.Muestra'!$C$8:$C$42)-MIN(ROW('03.Muestra'!$D$8:$D$42))+1,""),ROW()-1424)),"")</f>
        <v>Home - PortCastelló</v>
      </c>
      <c r="C1455" s="114" t="str" cm="1">
        <f t="array" ref="C1455">IFERROR(INDEX('03.Muestra'!$F$8:$F$42,SMALL(IF("Página Web"='03.Muestra'!$D$8:$D$42,ROW('03.Muestra'!$F$8:$F$42)-MIN(ROW('03.Muestra'!$D$8:$D$42))+1,""),ROW()-1424)),"")</f>
        <v>https://www.portcastello.com/</v>
      </c>
      <c r="D1455" s="130" t="s">
        <v>37</v>
      </c>
      <c r="E1455" s="107" t="str">
        <f t="shared" si="74"/>
        <v/>
      </c>
      <c r="F1455" s="124"/>
      <c r="G1455" s="19"/>
      <c r="H1455" s="19"/>
      <c r="I1455" s="19"/>
      <c r="J1455" s="19"/>
      <c r="K1455" s="233"/>
      <c r="L1455" s="19"/>
    </row>
    <row r="1456" spans="1:12" ht="12" customHeight="1">
      <c r="A1456" s="219" t="n" cm="1">
        <f t="array" ref="A1456">IFERROR(INDEX('03.Muestra'!$B$8:$B$42,SMALL(IF("Página Web"='03.Muestra'!$D$8:$D$42,ROW('03.Muestra'!$B$8:$B$42)-MIN(ROW('03.Muestra'!$D$8:$D$42))+1,""),ROW()-1424)),"")</f>
        <v>1.0</v>
      </c>
      <c r="B1456" s="114" t="str" cm="1">
        <f t="array" ref="B1456">IFERROR(INDEX('03.Muestra'!$C$8:$C$42,SMALL(IF("Página Web"='03.Muestra'!$D$8:$D$42,ROW('03.Muestra'!$C$8:$C$42)-MIN(ROW('03.Muestra'!$D$8:$D$42))+1,""),ROW()-1424)),"")</f>
        <v>Home - PortCastelló</v>
      </c>
      <c r="C1456" s="114" t="str" cm="1">
        <f t="array" ref="C1456">IFERROR(INDEX('03.Muestra'!$F$8:$F$42,SMALL(IF("Página Web"='03.Muestra'!$D$8:$D$42,ROW('03.Muestra'!$F$8:$F$42)-MIN(ROW('03.Muestra'!$D$8:$D$42))+1,""),ROW()-1424)),"")</f>
        <v>https://www.portcastello.com/</v>
      </c>
      <c r="D1456" s="130" t="s">
        <v>37</v>
      </c>
      <c r="E1456" s="107" t="str">
        <f t="shared" si="74"/>
        <v/>
      </c>
      <c r="F1456" s="124"/>
      <c r="G1456" s="19"/>
      <c r="H1456" s="19"/>
      <c r="I1456" s="19"/>
      <c r="J1456" s="19"/>
      <c r="K1456" s="233"/>
      <c r="L1456" s="19"/>
    </row>
    <row r="1457" spans="1:12" ht="12" customHeight="1">
      <c r="A1457" s="219" t="n" cm="1">
        <f t="array" ref="A1457">IFERROR(INDEX('03.Muestra'!$B$8:$B$42,SMALL(IF("Página Web"='03.Muestra'!$D$8:$D$42,ROW('03.Muestra'!$B$8:$B$42)-MIN(ROW('03.Muestra'!$D$8:$D$42))+1,""),ROW()-1424)),"")</f>
        <v>1.0</v>
      </c>
      <c r="B1457" s="114" t="str" cm="1">
        <f t="array" ref="B1457">IFERROR(INDEX('03.Muestra'!$C$8:$C$42,SMALL(IF("Página Web"='03.Muestra'!$D$8:$D$42,ROW('03.Muestra'!$C$8:$C$42)-MIN(ROW('03.Muestra'!$D$8:$D$42))+1,""),ROW()-1424)),"")</f>
        <v>Home - PortCastelló</v>
      </c>
      <c r="C1457" s="114" t="str" cm="1">
        <f t="array" ref="C1457">IFERROR(INDEX('03.Muestra'!$F$8:$F$42,SMALL(IF("Página Web"='03.Muestra'!$D$8:$D$42,ROW('03.Muestra'!$F$8:$F$42)-MIN(ROW('03.Muestra'!$D$8:$D$42))+1,""),ROW()-1424)),"")</f>
        <v>https://www.portcastello.com/</v>
      </c>
      <c r="D1457" s="130" t="s">
        <v>37</v>
      </c>
      <c r="E1457" s="107" t="str">
        <f t="shared" si="74"/>
        <v/>
      </c>
      <c r="F1457" s="124"/>
      <c r="G1457" s="19"/>
      <c r="H1457" s="19"/>
      <c r="I1457" s="19"/>
      <c r="J1457" s="19"/>
      <c r="K1457" s="233"/>
      <c r="L1457" s="19"/>
    </row>
    <row r="1458" spans="1:12" ht="12" customHeight="1">
      <c r="A1458" s="219" t="str" cm="1">
        <f t="array" ref="A1458">IFERROR(INDEX('03.Muestra'!$B$8:$B$42,SMALL(IF("Página Web"='03.Muestra'!$D$8:$D$42,ROW('03.Muestra'!$B$8:$B$42)-MIN(ROW('03.Muestra'!$D$8:$D$42))+1,""),ROW()-1424)),"")</f>
        <v/>
      </c>
      <c r="B1458" s="114" t="str" cm="1">
        <f t="array" ref="B1458">IFERROR(INDEX('03.Muestra'!$C$8:$C$42,SMALL(IF("Página Web"='03.Muestra'!$D$8:$D$42,ROW('03.Muestra'!$C$8:$C$42)-MIN(ROW('03.Muestra'!$D$8:$D$42))+1,""),ROW()-1424)),"")</f>
        <v/>
      </c>
      <c r="C1458" s="114" t="str" cm="1">
        <f t="array" ref="C1458">IFERROR(INDEX('03.Muestra'!$F$8:$F$42,SMALL(IF("Página Web"='03.Muestra'!$D$8:$D$42,ROW('03.Muestra'!$F$8:$F$42)-MIN(ROW('03.Muestra'!$D$8:$D$42))+1,""),ROW()-1424)),"")</f>
        <v/>
      </c>
      <c r="D1458" s="130" t="str">
        <f t="shared" si="75" ref="D1458:D1459">IF(AND(B1458&lt;&gt;"",C1458&lt;&gt;""),"N/T","")</f>
        <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268</v>
      </c>
      <c r="B1462" s="24" t="s">
        <v>90</v>
      </c>
      <c r="C1462" s="25" t="s">
        <v>411</v>
      </c>
      <c r="D1462" s="26" t="s">
        <v>32</v>
      </c>
      <c r="E1462" s="123"/>
      <c r="K1462" s="233"/>
      <c r="L1462" s="19"/>
    </row>
    <row r="1463" spans="1:12" ht="12" customHeight="1">
      <c r="A1463" s="219" t="n" cm="1">
        <f t="array" ref="A1463">IFERROR(INDEX('03.Muestra'!$B$8:$B$42,SMALL(IF("Página Web"='03.Muestra'!$D$8:$D$42,ROW('03.Muestra'!$B$8:$B$42)-MIN(ROW('03.Muestra'!$D$8:$D$42))+1,""),ROW()-1462)),"")</f>
        <v>1.0</v>
      </c>
      <c r="B1463" s="114" t="str" cm="1">
        <f t="array" ref="B1463">IFERROR(INDEX('03.Muestra'!$C$8:$C$42,SMALL(IF("Página Web"='03.Muestra'!$D$8:$D$42,ROW('03.Muestra'!$C$8:$C$42)-MIN(ROW('03.Muestra'!$D$8:$D$42))+1,""),ROW()-1462)),"")</f>
        <v>Home - PortCastelló</v>
      </c>
      <c r="C1463" s="114" t="str" cm="1">
        <f t="array" ref="C1463">IFERROR(INDEX('03.Muestra'!$F$8:$F$42,SMALL(IF("Página Web"='03.Muestra'!$D$8:$D$42,ROW('03.Muestra'!$F$8:$F$42)-MIN(ROW('03.Muestra'!$D$8:$D$42))+1,""),ROW()-1462)),"")</f>
        <v>https://www.portcastello.com/</v>
      </c>
      <c r="D1463" s="130" t="s">
        <v>37</v>
      </c>
      <c r="E1463" s="107" t="str">
        <f t="shared" ref="E1463:E1497" si="76">IF(D1463&lt;&gt;"",IF(AND(B1463&lt;&gt;"",C1463&lt;&gt;""),"","ERR"),"")</f>
        <v/>
      </c>
      <c r="F1463" s="115" t="s">
        <v>33</v>
      </c>
      <c r="G1463" s="116" t="s">
        <v>37</v>
      </c>
      <c r="H1463" s="117" t="s">
        <v>35</v>
      </c>
      <c r="I1463" s="118" t="s">
        <v>28</v>
      </c>
      <c r="J1463" s="119" t="s">
        <v>26</v>
      </c>
      <c r="K1463" s="226" t="s">
        <v>474</v>
      </c>
      <c r="L1463" s="19"/>
    </row>
    <row r="1464" spans="1:12" ht="12" customHeight="1">
      <c r="A1464" s="219" t="n" cm="1">
        <f t="array" ref="A1464">IFERROR(INDEX('03.Muestra'!$B$8:$B$42,SMALL(IF("Página Web"='03.Muestra'!$D$8:$D$42,ROW('03.Muestra'!$B$8:$B$42)-MIN(ROW('03.Muestra'!$D$8:$D$42))+1,""),ROW()-1462)),"")</f>
        <v>1.0</v>
      </c>
      <c r="B1464" s="114" t="str" cm="1">
        <f t="array" ref="B1464">IFERROR(INDEX('03.Muestra'!$C$8:$C$42,SMALL(IF("Página Web"='03.Muestra'!$D$8:$D$42,ROW('03.Muestra'!$C$8:$C$42)-MIN(ROW('03.Muestra'!$D$8:$D$42))+1,""),ROW()-1462)),"")</f>
        <v>Home - PortCastelló</v>
      </c>
      <c r="C1464" s="114" t="str" cm="1">
        <f t="array" ref="C1464">IFERROR(INDEX('03.Muestra'!$F$8:$F$42,SMALL(IF("Página Web"='03.Muestra'!$D$8:$D$42,ROW('03.Muestra'!$F$8:$F$42)-MIN(ROW('03.Muestra'!$D$8:$D$42))+1,""),ROW()-1462)),"")</f>
        <v>https://www.portcastello.com/</v>
      </c>
      <c r="D1464" s="130" t="s">
        <v>37</v>
      </c>
      <c r="E1464" s="107" t="str">
        <f t="shared" si="76"/>
        <v/>
      </c>
      <c r="F1464" s="120" t="n">
        <f ca="1">COUNTIF($D1463:INDIRECT("$D" &amp;  SUM(ROW()-1,'03.Muestra'!$D$45)-1),F1463)</f>
        <v>0.0</v>
      </c>
      <c r="G1464" s="120" t="n">
        <f ca="1">COUNTIF($D1463:INDIRECT("$D" &amp;  SUM(ROW()-1,'03.Muestra'!$D$45)-1),G1463)</f>
        <v>33.0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IF(COUNTIF('03.Muestra'!$D$8:$D$42,"Página Web")=0,0,COUNTBLANK($D1463:INDIRECT("$D" &amp;  SUM(ROW()-1,COUNTIF('03.Muestra'!$D$8:$D$42,"Página Web"))-1)))</f>
        <v>0.0</v>
      </c>
      <c r="L1464" s="19"/>
    </row>
    <row r="1465" spans="1:12" ht="12" customHeight="1">
      <c r="A1465" s="219" t="n" cm="1">
        <f t="array" ref="A1465">IFERROR(INDEX('03.Muestra'!$B$8:$B$42,SMALL(IF("Página Web"='03.Muestra'!$D$8:$D$42,ROW('03.Muestra'!$B$8:$B$42)-MIN(ROW('03.Muestra'!$D$8:$D$42))+1,""),ROW()-1462)),"")</f>
        <v>1.0</v>
      </c>
      <c r="B1465" s="114" t="str" cm="1">
        <f t="array" ref="B1465">IFERROR(INDEX('03.Muestra'!$C$8:$C$42,SMALL(IF("Página Web"='03.Muestra'!$D$8:$D$42,ROW('03.Muestra'!$C$8:$C$42)-MIN(ROW('03.Muestra'!$D$8:$D$42))+1,""),ROW()-1462)),"")</f>
        <v>Home - PortCastelló</v>
      </c>
      <c r="C1465" s="114" t="str" cm="1">
        <f t="array" ref="C1465">IFERROR(INDEX('03.Muestra'!$F$8:$F$42,SMALL(IF("Página Web"='03.Muestra'!$D$8:$D$42,ROW('03.Muestra'!$F$8:$F$42)-MIN(ROW('03.Muestra'!$D$8:$D$42))+1,""),ROW()-1462)),"")</f>
        <v>https://www.portcastello.com/</v>
      </c>
      <c r="D1465" s="130" t="s">
        <v>37</v>
      </c>
      <c r="E1465" s="107" t="str">
        <f t="shared" si="76"/>
        <v/>
      </c>
      <c r="G1465" s="19"/>
      <c r="H1465" s="19"/>
      <c r="I1465" s="19"/>
      <c r="J1465" s="19"/>
      <c r="K1465" s="233"/>
      <c r="L1465" s="19"/>
    </row>
    <row r="1466" spans="1:12" ht="12" customHeight="1">
      <c r="A1466" s="219" t="n" cm="1">
        <f t="array" ref="A1466">IFERROR(INDEX('03.Muestra'!$B$8:$B$42,SMALL(IF("Página Web"='03.Muestra'!$D$8:$D$42,ROW('03.Muestra'!$B$8:$B$42)-MIN(ROW('03.Muestra'!$D$8:$D$42))+1,""),ROW()-1462)),"")</f>
        <v>1.0</v>
      </c>
      <c r="B1466" s="114" t="str" cm="1">
        <f t="array" ref="B1466">IFERROR(INDEX('03.Muestra'!$C$8:$C$42,SMALL(IF("Página Web"='03.Muestra'!$D$8:$D$42,ROW('03.Muestra'!$C$8:$C$42)-MIN(ROW('03.Muestra'!$D$8:$D$42))+1,""),ROW()-1462)),"")</f>
        <v>Home - PortCastelló</v>
      </c>
      <c r="C1466" s="114" t="str" cm="1">
        <f t="array" ref="C1466">IFERROR(INDEX('03.Muestra'!$F$8:$F$42,SMALL(IF("Página Web"='03.Muestra'!$D$8:$D$42,ROW('03.Muestra'!$F$8:$F$42)-MIN(ROW('03.Muestra'!$D$8:$D$42))+1,""),ROW()-1462)),"")</f>
        <v>https://www.portcastello.com/</v>
      </c>
      <c r="D1466" s="130" t="s">
        <v>37</v>
      </c>
      <c r="E1466" s="107" t="str">
        <f t="shared" si="76"/>
        <v/>
      </c>
      <c r="G1466" s="19"/>
      <c r="H1466" s="19"/>
      <c r="I1466" s="19"/>
      <c r="J1466" s="19"/>
      <c r="K1466" s="233"/>
      <c r="L1466" s="19"/>
    </row>
    <row r="1467" spans="1:12" ht="12" customHeight="1">
      <c r="A1467" s="219" t="n" cm="1">
        <f t="array" ref="A1467">IFERROR(INDEX('03.Muestra'!$B$8:$B$42,SMALL(IF("Página Web"='03.Muestra'!$D$8:$D$42,ROW('03.Muestra'!$B$8:$B$42)-MIN(ROW('03.Muestra'!$D$8:$D$42))+1,""),ROW()-1462)),"")</f>
        <v>1.0</v>
      </c>
      <c r="B1467" s="114" t="str" cm="1">
        <f t="array" ref="B1467">IFERROR(INDEX('03.Muestra'!$C$8:$C$42,SMALL(IF("Página Web"='03.Muestra'!$D$8:$D$42,ROW('03.Muestra'!$C$8:$C$42)-MIN(ROW('03.Muestra'!$D$8:$D$42))+1,""),ROW()-1462)),"")</f>
        <v>Home - PortCastelló</v>
      </c>
      <c r="C1467" s="114" t="str" cm="1">
        <f t="array" ref="C1467">IFERROR(INDEX('03.Muestra'!$F$8:$F$42,SMALL(IF("Página Web"='03.Muestra'!$D$8:$D$42,ROW('03.Muestra'!$F$8:$F$42)-MIN(ROW('03.Muestra'!$D$8:$D$42))+1,""),ROW()-1462)),"")</f>
        <v>https://www.portcastello.com/</v>
      </c>
      <c r="D1467" s="130" t="s">
        <v>37</v>
      </c>
      <c r="E1467" s="107" t="str">
        <f t="shared" si="76"/>
        <v/>
      </c>
      <c r="G1467" s="19"/>
      <c r="H1467" s="19"/>
      <c r="I1467" s="19"/>
      <c r="J1467" s="19"/>
      <c r="K1467" s="233"/>
      <c r="L1467" s="19"/>
    </row>
    <row r="1468" spans="1:12" ht="12" customHeight="1">
      <c r="A1468" s="219" t="n" cm="1">
        <f t="array" ref="A1468">IFERROR(INDEX('03.Muestra'!$B$8:$B$42,SMALL(IF("Página Web"='03.Muestra'!$D$8:$D$42,ROW('03.Muestra'!$B$8:$B$42)-MIN(ROW('03.Muestra'!$D$8:$D$42))+1,""),ROW()-1462)),"")</f>
        <v>1.0</v>
      </c>
      <c r="B1468" s="114" t="str" cm="1">
        <f t="array" ref="B1468">IFERROR(INDEX('03.Muestra'!$C$8:$C$42,SMALL(IF("Página Web"='03.Muestra'!$D$8:$D$42,ROW('03.Muestra'!$C$8:$C$42)-MIN(ROW('03.Muestra'!$D$8:$D$42))+1,""),ROW()-1462)),"")</f>
        <v>Home - PortCastelló</v>
      </c>
      <c r="C1468" s="114" t="str" cm="1">
        <f t="array" ref="C1468">IFERROR(INDEX('03.Muestra'!$F$8:$F$42,SMALL(IF("Página Web"='03.Muestra'!$D$8:$D$42,ROW('03.Muestra'!$F$8:$F$42)-MIN(ROW('03.Muestra'!$D$8:$D$42))+1,""),ROW()-1462)),"")</f>
        <v>https://www.portcastello.com/</v>
      </c>
      <c r="D1468" s="130" t="s">
        <v>37</v>
      </c>
      <c r="E1468" s="107" t="str">
        <f t="shared" si="76"/>
        <v/>
      </c>
      <c r="G1468" s="19"/>
      <c r="H1468" s="19"/>
      <c r="I1468" s="19"/>
      <c r="J1468" s="19"/>
      <c r="K1468" s="233"/>
      <c r="L1468" s="19"/>
    </row>
    <row r="1469" spans="1:12" ht="12" customHeight="1">
      <c r="A1469" s="219" t="n" cm="1">
        <f t="array" ref="A1469">IFERROR(INDEX('03.Muestra'!$B$8:$B$42,SMALL(IF("Página Web"='03.Muestra'!$D$8:$D$42,ROW('03.Muestra'!$B$8:$B$42)-MIN(ROW('03.Muestra'!$D$8:$D$42))+1,""),ROW()-1462)),"")</f>
        <v>1.0</v>
      </c>
      <c r="B1469" s="114" t="str" cm="1">
        <f t="array" ref="B1469">IFERROR(INDEX('03.Muestra'!$C$8:$C$42,SMALL(IF("Página Web"='03.Muestra'!$D$8:$D$42,ROW('03.Muestra'!$C$8:$C$42)-MIN(ROW('03.Muestra'!$D$8:$D$42))+1,""),ROW()-1462)),"")</f>
        <v>Home - PortCastelló</v>
      </c>
      <c r="C1469" s="114" t="str" cm="1">
        <f t="array" ref="C1469">IFERROR(INDEX('03.Muestra'!$F$8:$F$42,SMALL(IF("Página Web"='03.Muestra'!$D$8:$D$42,ROW('03.Muestra'!$F$8:$F$42)-MIN(ROW('03.Muestra'!$D$8:$D$42))+1,""),ROW()-1462)),"")</f>
        <v>https://www.portcastello.com/</v>
      </c>
      <c r="D1469" s="130" t="s">
        <v>37</v>
      </c>
      <c r="E1469" s="107" t="str">
        <f t="shared" si="76"/>
        <v/>
      </c>
      <c r="F1469" s="19"/>
      <c r="G1469" s="19"/>
      <c r="H1469" s="19"/>
      <c r="I1469" s="19"/>
      <c r="J1469" s="19"/>
      <c r="K1469" s="233"/>
      <c r="L1469" s="19"/>
    </row>
    <row r="1470" spans="1:12" ht="12" customHeight="1">
      <c r="A1470" s="219" t="n" cm="1">
        <f t="array" ref="A1470">IFERROR(INDEX('03.Muestra'!$B$8:$B$42,SMALL(IF("Página Web"='03.Muestra'!$D$8:$D$42,ROW('03.Muestra'!$B$8:$B$42)-MIN(ROW('03.Muestra'!$D$8:$D$42))+1,""),ROW()-1462)),"")</f>
        <v>1.0</v>
      </c>
      <c r="B1470" s="114" t="str" cm="1">
        <f t="array" ref="B1470">IFERROR(INDEX('03.Muestra'!$C$8:$C$42,SMALL(IF("Página Web"='03.Muestra'!$D$8:$D$42,ROW('03.Muestra'!$C$8:$C$42)-MIN(ROW('03.Muestra'!$D$8:$D$42))+1,""),ROW()-1462)),"")</f>
        <v>Home - PortCastelló</v>
      </c>
      <c r="C1470" s="114" t="str" cm="1">
        <f t="array" ref="C1470">IFERROR(INDEX('03.Muestra'!$F$8:$F$42,SMALL(IF("Página Web"='03.Muestra'!$D$8:$D$42,ROW('03.Muestra'!$F$8:$F$42)-MIN(ROW('03.Muestra'!$D$8:$D$42))+1,""),ROW()-1462)),"")</f>
        <v>https://www.portcastello.com/</v>
      </c>
      <c r="D1470" s="130" t="s">
        <v>37</v>
      </c>
      <c r="E1470" s="107" t="str">
        <f t="shared" si="76"/>
        <v/>
      </c>
      <c r="F1470" s="19"/>
      <c r="G1470" s="19"/>
      <c r="H1470" s="19"/>
      <c r="I1470" s="19"/>
      <c r="J1470" s="19"/>
      <c r="K1470" s="233"/>
      <c r="L1470" s="19"/>
    </row>
    <row r="1471" spans="1:12" ht="12" customHeight="1">
      <c r="A1471" s="219" t="n" cm="1">
        <f t="array" ref="A1471">IFERROR(INDEX('03.Muestra'!$B$8:$B$42,SMALL(IF("Página Web"='03.Muestra'!$D$8:$D$42,ROW('03.Muestra'!$B$8:$B$42)-MIN(ROW('03.Muestra'!$D$8:$D$42))+1,""),ROW()-1462)),"")</f>
        <v>1.0</v>
      </c>
      <c r="B1471" s="114" t="str" cm="1">
        <f t="array" ref="B1471">IFERROR(INDEX('03.Muestra'!$C$8:$C$42,SMALL(IF("Página Web"='03.Muestra'!$D$8:$D$42,ROW('03.Muestra'!$C$8:$C$42)-MIN(ROW('03.Muestra'!$D$8:$D$42))+1,""),ROW()-1462)),"")</f>
        <v>Home - PortCastelló</v>
      </c>
      <c r="C1471" s="114" t="str" cm="1">
        <f t="array" ref="C1471">IFERROR(INDEX('03.Muestra'!$F$8:$F$42,SMALL(IF("Página Web"='03.Muestra'!$D$8:$D$42,ROW('03.Muestra'!$F$8:$F$42)-MIN(ROW('03.Muestra'!$D$8:$D$42))+1,""),ROW()-1462)),"")</f>
        <v>https://www.portcastello.com/</v>
      </c>
      <c r="D1471" s="130" t="s">
        <v>37</v>
      </c>
      <c r="E1471" s="107" t="str">
        <f t="shared" si="76"/>
        <v/>
      </c>
      <c r="F1471" s="19"/>
      <c r="G1471" s="19"/>
      <c r="H1471" s="19"/>
      <c r="I1471" s="19"/>
      <c r="J1471" s="19"/>
      <c r="K1471" s="233"/>
      <c r="L1471" s="19"/>
    </row>
    <row r="1472" spans="1:12" ht="12" customHeight="1">
      <c r="A1472" s="219" t="n"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Home - PortCastelló</v>
      </c>
      <c r="C1472" s="114" t="str" cm="1">
        <f t="array" ref="C1472">IFERROR(INDEX('03.Muestra'!$F$8:$F$42,SMALL(IF("Página Web"='03.Muestra'!$D$8:$D$42,ROW('03.Muestra'!$F$8:$F$42)-MIN(ROW('03.Muestra'!$D$8:$D$42))+1,""),ROW()-1462)),"")</f>
        <v>https://www.portcastello.com/</v>
      </c>
      <c r="D1472" s="130" t="s">
        <v>37</v>
      </c>
      <c r="E1472" s="107" t="str">
        <f t="shared" si="76"/>
        <v/>
      </c>
      <c r="F1472" s="19"/>
      <c r="G1472" s="19"/>
      <c r="H1472" s="19"/>
      <c r="I1472" s="19"/>
      <c r="J1472" s="19"/>
      <c r="K1472" s="233"/>
      <c r="L1472" s="19"/>
    </row>
    <row r="1473" spans="1:12" ht="12" customHeight="1">
      <c r="A1473" s="219" t="n" cm="1">
        <f t="array" ref="A1473">IFERROR(INDEX('03.Muestra'!$B$8:$B$42,SMALL(IF("Página Web"='03.Muestra'!$D$8:$D$42,ROW('03.Muestra'!$B$8:$B$42)-MIN(ROW('03.Muestra'!$D$8:$D$42))+1,""),ROW()-1462)),"")</f>
        <v>1.0</v>
      </c>
      <c r="B1473" s="114" t="str" cm="1">
        <f t="array" ref="B1473">IFERROR(INDEX('03.Muestra'!$C$8:$C$42,SMALL(IF("Página Web"='03.Muestra'!$D$8:$D$42,ROW('03.Muestra'!$C$8:$C$42)-MIN(ROW('03.Muestra'!$D$8:$D$42))+1,""),ROW()-1462)),"")</f>
        <v>Home - PortCastelló</v>
      </c>
      <c r="C1473" s="114" t="str" cm="1">
        <f t="array" ref="C1473">IFERROR(INDEX('03.Muestra'!$F$8:$F$42,SMALL(IF("Página Web"='03.Muestra'!$D$8:$D$42,ROW('03.Muestra'!$F$8:$F$42)-MIN(ROW('03.Muestra'!$D$8:$D$42))+1,""),ROW()-1462)),"")</f>
        <v>https://www.portcastello.com/</v>
      </c>
      <c r="D1473" s="130" t="s">
        <v>37</v>
      </c>
      <c r="E1473" s="107" t="str">
        <f t="shared" si="76"/>
        <v/>
      </c>
      <c r="F1473" s="19"/>
      <c r="G1473" s="19"/>
      <c r="H1473" s="19"/>
      <c r="I1473" s="19"/>
      <c r="J1473" s="19"/>
      <c r="K1473" s="233"/>
      <c r="L1473" s="19"/>
    </row>
    <row r="1474" spans="1:12" ht="12" customHeight="1">
      <c r="A1474" s="219" t="n" cm="1">
        <f t="array" ref="A1474">IFERROR(INDEX('03.Muestra'!$B$8:$B$42,SMALL(IF("Página Web"='03.Muestra'!$D$8:$D$42,ROW('03.Muestra'!$B$8:$B$42)-MIN(ROW('03.Muestra'!$D$8:$D$42))+1,""),ROW()-1462)),"")</f>
        <v>1.0</v>
      </c>
      <c r="B1474" s="114" t="str" cm="1">
        <f t="array" ref="B1474">IFERROR(INDEX('03.Muestra'!$C$8:$C$42,SMALL(IF("Página Web"='03.Muestra'!$D$8:$D$42,ROW('03.Muestra'!$C$8:$C$42)-MIN(ROW('03.Muestra'!$D$8:$D$42))+1,""),ROW()-1462)),"")</f>
        <v>Home - PortCastelló</v>
      </c>
      <c r="C1474" s="114" t="str" cm="1">
        <f t="array" ref="C1474">IFERROR(INDEX('03.Muestra'!$F$8:$F$42,SMALL(IF("Página Web"='03.Muestra'!$D$8:$D$42,ROW('03.Muestra'!$F$8:$F$42)-MIN(ROW('03.Muestra'!$D$8:$D$42))+1,""),ROW()-1462)),"")</f>
        <v>https://www.portcastello.com/</v>
      </c>
      <c r="D1474" s="130" t="s">
        <v>37</v>
      </c>
      <c r="E1474" s="107" t="str">
        <f t="shared" si="76"/>
        <v/>
      </c>
      <c r="F1474" s="19"/>
      <c r="G1474" s="19"/>
      <c r="H1474" s="19"/>
      <c r="I1474" s="19"/>
      <c r="J1474" s="19"/>
      <c r="K1474" s="233"/>
      <c r="L1474" s="19"/>
    </row>
    <row r="1475" spans="1:12" ht="12" customHeight="1">
      <c r="A1475" s="219" t="n" cm="1">
        <f t="array" ref="A1475">IFERROR(INDEX('03.Muestra'!$B$8:$B$42,SMALL(IF("Página Web"='03.Muestra'!$D$8:$D$42,ROW('03.Muestra'!$B$8:$B$42)-MIN(ROW('03.Muestra'!$D$8:$D$42))+1,""),ROW()-1462)),"")</f>
        <v>1.0</v>
      </c>
      <c r="B1475" s="114" t="str" cm="1">
        <f t="array" ref="B1475">IFERROR(INDEX('03.Muestra'!$C$8:$C$42,SMALL(IF("Página Web"='03.Muestra'!$D$8:$D$42,ROW('03.Muestra'!$C$8:$C$42)-MIN(ROW('03.Muestra'!$D$8:$D$42))+1,""),ROW()-1462)),"")</f>
        <v>Home - PortCastelló</v>
      </c>
      <c r="C1475" s="114" t="str" cm="1">
        <f t="array" ref="C1475">IFERROR(INDEX('03.Muestra'!$F$8:$F$42,SMALL(IF("Página Web"='03.Muestra'!$D$8:$D$42,ROW('03.Muestra'!$F$8:$F$42)-MIN(ROW('03.Muestra'!$D$8:$D$42))+1,""),ROW()-1462)),"")</f>
        <v>https://www.portcastello.com/</v>
      </c>
      <c r="D1475" s="130" t="s">
        <v>37</v>
      </c>
      <c r="E1475" s="107" t="str">
        <f t="shared" si="76"/>
        <v/>
      </c>
      <c r="F1475" s="19"/>
      <c r="G1475" s="19"/>
      <c r="H1475" s="19"/>
      <c r="I1475" s="19"/>
      <c r="J1475" s="19"/>
      <c r="K1475" s="233"/>
      <c r="L1475" s="19"/>
    </row>
    <row r="1476" spans="1:12" ht="12" customHeight="1">
      <c r="A1476" s="219" t="n" cm="1">
        <f t="array" ref="A1476">IFERROR(INDEX('03.Muestra'!$B$8:$B$42,SMALL(IF("Página Web"='03.Muestra'!$D$8:$D$42,ROW('03.Muestra'!$B$8:$B$42)-MIN(ROW('03.Muestra'!$D$8:$D$42))+1,""),ROW()-1462)),"")</f>
        <v>1.0</v>
      </c>
      <c r="B1476" s="114" t="str" cm="1">
        <f t="array" ref="B1476">IFERROR(INDEX('03.Muestra'!$C$8:$C$42,SMALL(IF("Página Web"='03.Muestra'!$D$8:$D$42,ROW('03.Muestra'!$C$8:$C$42)-MIN(ROW('03.Muestra'!$D$8:$D$42))+1,""),ROW()-1462)),"")</f>
        <v>Home - PortCastelló</v>
      </c>
      <c r="C1476" s="114" t="str" cm="1">
        <f t="array" ref="C1476">IFERROR(INDEX('03.Muestra'!$F$8:$F$42,SMALL(IF("Página Web"='03.Muestra'!$D$8:$D$42,ROW('03.Muestra'!$F$8:$F$42)-MIN(ROW('03.Muestra'!$D$8:$D$42))+1,""),ROW()-1462)),"")</f>
        <v>https://www.portcastello.com/</v>
      </c>
      <c r="D1476" s="130" t="s">
        <v>37</v>
      </c>
      <c r="E1476" s="107" t="str">
        <f t="shared" si="76"/>
        <v/>
      </c>
      <c r="F1476" s="19"/>
      <c r="G1476" s="19"/>
      <c r="H1476" s="19"/>
      <c r="I1476" s="19"/>
      <c r="J1476" s="19"/>
      <c r="K1476" s="233"/>
      <c r="L1476" s="19"/>
    </row>
    <row r="1477" spans="1:12" ht="12" customHeight="1">
      <c r="A1477" s="219" t="n" cm="1">
        <f t="array" ref="A1477">IFERROR(INDEX('03.Muestra'!$B$8:$B$42,SMALL(IF("Página Web"='03.Muestra'!$D$8:$D$42,ROW('03.Muestra'!$B$8:$B$42)-MIN(ROW('03.Muestra'!$D$8:$D$42))+1,""),ROW()-1462)),"")</f>
        <v>1.0</v>
      </c>
      <c r="B1477" s="114" t="str" cm="1">
        <f t="array" ref="B1477">IFERROR(INDEX('03.Muestra'!$C$8:$C$42,SMALL(IF("Página Web"='03.Muestra'!$D$8:$D$42,ROW('03.Muestra'!$C$8:$C$42)-MIN(ROW('03.Muestra'!$D$8:$D$42))+1,""),ROW()-1462)),"")</f>
        <v>Home - PortCastelló</v>
      </c>
      <c r="C1477" s="114" t="str" cm="1">
        <f t="array" ref="C1477">IFERROR(INDEX('03.Muestra'!$F$8:$F$42,SMALL(IF("Página Web"='03.Muestra'!$D$8:$D$42,ROW('03.Muestra'!$F$8:$F$42)-MIN(ROW('03.Muestra'!$D$8:$D$42))+1,""),ROW()-1462)),"")</f>
        <v>https://www.portcastello.com/</v>
      </c>
      <c r="D1477" s="130" t="s">
        <v>37</v>
      </c>
      <c r="E1477" s="107" t="str">
        <f t="shared" si="76"/>
        <v/>
      </c>
      <c r="F1477" s="19"/>
      <c r="G1477" s="19"/>
      <c r="H1477" s="19"/>
      <c r="I1477" s="19"/>
      <c r="J1477" s="19"/>
      <c r="K1477" s="233"/>
      <c r="L1477" s="19"/>
    </row>
    <row r="1478" spans="1:12" ht="12" customHeight="1">
      <c r="A1478" s="219" t="n" cm="1">
        <f t="array" ref="A1478">IFERROR(INDEX('03.Muestra'!$B$8:$B$42,SMALL(IF("Página Web"='03.Muestra'!$D$8:$D$42,ROW('03.Muestra'!$B$8:$B$42)-MIN(ROW('03.Muestra'!$D$8:$D$42))+1,""),ROW()-1462)),"")</f>
        <v>1.0</v>
      </c>
      <c r="B1478" s="114" t="str" cm="1">
        <f t="array" ref="B1478">IFERROR(INDEX('03.Muestra'!$C$8:$C$42,SMALL(IF("Página Web"='03.Muestra'!$D$8:$D$42,ROW('03.Muestra'!$C$8:$C$42)-MIN(ROW('03.Muestra'!$D$8:$D$42))+1,""),ROW()-1462)),"")</f>
        <v>Home - PortCastelló</v>
      </c>
      <c r="C1478" s="114" t="str" cm="1">
        <f t="array" ref="C1478">IFERROR(INDEX('03.Muestra'!$F$8:$F$42,SMALL(IF("Página Web"='03.Muestra'!$D$8:$D$42,ROW('03.Muestra'!$F$8:$F$42)-MIN(ROW('03.Muestra'!$D$8:$D$42))+1,""),ROW()-1462)),"")</f>
        <v>https://www.portcastello.com/</v>
      </c>
      <c r="D1478" s="130" t="s">
        <v>37</v>
      </c>
      <c r="E1478" s="107" t="str">
        <f t="shared" si="76"/>
        <v/>
      </c>
      <c r="F1478" s="19"/>
      <c r="G1478" s="19"/>
      <c r="H1478" s="19"/>
      <c r="I1478" s="19"/>
      <c r="J1478" s="19"/>
      <c r="K1478" s="233"/>
      <c r="L1478" s="19"/>
    </row>
    <row r="1479" spans="1:12" ht="12" customHeight="1">
      <c r="A1479" s="219" t="n" cm="1">
        <f t="array" ref="A1479">IFERROR(INDEX('03.Muestra'!$B$8:$B$42,SMALL(IF("Página Web"='03.Muestra'!$D$8:$D$42,ROW('03.Muestra'!$B$8:$B$42)-MIN(ROW('03.Muestra'!$D$8:$D$42))+1,""),ROW()-1462)),"")</f>
        <v>1.0</v>
      </c>
      <c r="B1479" s="114" t="str" cm="1">
        <f t="array" ref="B1479">IFERROR(INDEX('03.Muestra'!$C$8:$C$42,SMALL(IF("Página Web"='03.Muestra'!$D$8:$D$42,ROW('03.Muestra'!$C$8:$C$42)-MIN(ROW('03.Muestra'!$D$8:$D$42))+1,""),ROW()-1462)),"")</f>
        <v>Home - PortCastelló</v>
      </c>
      <c r="C1479" s="114" t="str" cm="1">
        <f t="array" ref="C1479">IFERROR(INDEX('03.Muestra'!$F$8:$F$42,SMALL(IF("Página Web"='03.Muestra'!$D$8:$D$42,ROW('03.Muestra'!$F$8:$F$42)-MIN(ROW('03.Muestra'!$D$8:$D$42))+1,""),ROW()-1462)),"")</f>
        <v>https://www.portcastello.com/</v>
      </c>
      <c r="D1479" s="130" t="s">
        <v>37</v>
      </c>
      <c r="E1479" s="107" t="str">
        <f t="shared" si="76"/>
        <v/>
      </c>
      <c r="F1479" s="19"/>
      <c r="G1479" s="19"/>
      <c r="H1479" s="19"/>
      <c r="I1479" s="19"/>
      <c r="J1479" s="19"/>
      <c r="K1479" s="233"/>
      <c r="L1479" s="19"/>
    </row>
    <row r="1480" spans="1:12" ht="12" customHeight="1">
      <c r="A1480" s="219" t="n" cm="1">
        <f t="array" ref="A1480">IFERROR(INDEX('03.Muestra'!$B$8:$B$42,SMALL(IF("Página Web"='03.Muestra'!$D$8:$D$42,ROW('03.Muestra'!$B$8:$B$42)-MIN(ROW('03.Muestra'!$D$8:$D$42))+1,""),ROW()-1462)),"")</f>
        <v>1.0</v>
      </c>
      <c r="B1480" s="114" t="str" cm="1">
        <f t="array" ref="B1480">IFERROR(INDEX('03.Muestra'!$C$8:$C$42,SMALL(IF("Página Web"='03.Muestra'!$D$8:$D$42,ROW('03.Muestra'!$C$8:$C$42)-MIN(ROW('03.Muestra'!$D$8:$D$42))+1,""),ROW()-1462)),"")</f>
        <v>Home - PortCastelló</v>
      </c>
      <c r="C1480" s="114" t="str" cm="1">
        <f t="array" ref="C1480">IFERROR(INDEX('03.Muestra'!$F$8:$F$42,SMALL(IF("Página Web"='03.Muestra'!$D$8:$D$42,ROW('03.Muestra'!$F$8:$F$42)-MIN(ROW('03.Muestra'!$D$8:$D$42))+1,""),ROW()-1462)),"")</f>
        <v>https://www.portcastello.com/</v>
      </c>
      <c r="D1480" s="130" t="s">
        <v>37</v>
      </c>
      <c r="E1480" s="107" t="str">
        <f t="shared" si="76"/>
        <v/>
      </c>
      <c r="F1480" s="19"/>
      <c r="G1480" s="19"/>
      <c r="H1480" s="19"/>
      <c r="I1480" s="19"/>
      <c r="J1480" s="19"/>
      <c r="K1480" s="233"/>
      <c r="L1480" s="19"/>
    </row>
    <row r="1481" spans="1:12" ht="12" customHeight="1">
      <c r="A1481" s="219" t="n" cm="1">
        <f t="array" ref="A1481">IFERROR(INDEX('03.Muestra'!$B$8:$B$42,SMALL(IF("Página Web"='03.Muestra'!$D$8:$D$42,ROW('03.Muestra'!$B$8:$B$42)-MIN(ROW('03.Muestra'!$D$8:$D$42))+1,""),ROW()-1462)),"")</f>
        <v>1.0</v>
      </c>
      <c r="B1481" s="114" t="str" cm="1">
        <f t="array" ref="B1481">IFERROR(INDEX('03.Muestra'!$C$8:$C$42,SMALL(IF("Página Web"='03.Muestra'!$D$8:$D$42,ROW('03.Muestra'!$C$8:$C$42)-MIN(ROW('03.Muestra'!$D$8:$D$42))+1,""),ROW()-1462)),"")</f>
        <v>Home - PortCastelló</v>
      </c>
      <c r="C1481" s="114" t="str" cm="1">
        <f t="array" ref="C1481">IFERROR(INDEX('03.Muestra'!$F$8:$F$42,SMALL(IF("Página Web"='03.Muestra'!$D$8:$D$42,ROW('03.Muestra'!$F$8:$F$42)-MIN(ROW('03.Muestra'!$D$8:$D$42))+1,""),ROW()-1462)),"")</f>
        <v>https://www.portcastello.com/</v>
      </c>
      <c r="D1481" s="130" t="s">
        <v>37</v>
      </c>
      <c r="E1481" s="107" t="str">
        <f t="shared" si="76"/>
        <v/>
      </c>
      <c r="F1481" s="19"/>
      <c r="G1481" s="19"/>
      <c r="H1481" s="19"/>
      <c r="I1481" s="19"/>
      <c r="J1481" s="19"/>
      <c r="K1481" s="233"/>
      <c r="L1481" s="19"/>
    </row>
    <row r="1482" spans="1:12" ht="12" customHeight="1">
      <c r="A1482" s="219" t="n" cm="1">
        <f t="array" ref="A1482">IFERROR(INDEX('03.Muestra'!$B$8:$B$42,SMALL(IF("Página Web"='03.Muestra'!$D$8:$D$42,ROW('03.Muestra'!$B$8:$B$42)-MIN(ROW('03.Muestra'!$D$8:$D$42))+1,""),ROW()-1462)),"")</f>
        <v>1.0</v>
      </c>
      <c r="B1482" s="114" t="str" cm="1">
        <f t="array" ref="B1482">IFERROR(INDEX('03.Muestra'!$C$8:$C$42,SMALL(IF("Página Web"='03.Muestra'!$D$8:$D$42,ROW('03.Muestra'!$C$8:$C$42)-MIN(ROW('03.Muestra'!$D$8:$D$42))+1,""),ROW()-1462)),"")</f>
        <v>Home - PortCastelló</v>
      </c>
      <c r="C1482" s="114" t="str" cm="1">
        <f t="array" ref="C1482">IFERROR(INDEX('03.Muestra'!$F$8:$F$42,SMALL(IF("Página Web"='03.Muestra'!$D$8:$D$42,ROW('03.Muestra'!$F$8:$F$42)-MIN(ROW('03.Muestra'!$D$8:$D$42))+1,""),ROW()-1462)),"")</f>
        <v>https://www.portcastello.com/</v>
      </c>
      <c r="D1482" s="130" t="s">
        <v>37</v>
      </c>
      <c r="E1482" s="107" t="str">
        <f t="shared" si="76"/>
        <v/>
      </c>
      <c r="F1482" s="19"/>
      <c r="G1482" s="19"/>
      <c r="H1482" s="19"/>
      <c r="I1482" s="19"/>
      <c r="J1482" s="19"/>
      <c r="K1482" s="233"/>
      <c r="L1482" s="19"/>
    </row>
    <row r="1483" spans="1:12" ht="12" customHeight="1">
      <c r="A1483" s="219" t="n" cm="1">
        <f t="array" ref="A1483">IFERROR(INDEX('03.Muestra'!$B$8:$B$42,SMALL(IF("Página Web"='03.Muestra'!$D$8:$D$42,ROW('03.Muestra'!$B$8:$B$42)-MIN(ROW('03.Muestra'!$D$8:$D$42))+1,""),ROW()-1462)),"")</f>
        <v>1.0</v>
      </c>
      <c r="B1483" s="114" t="str" cm="1">
        <f t="array" ref="B1483">IFERROR(INDEX('03.Muestra'!$C$8:$C$42,SMALL(IF("Página Web"='03.Muestra'!$D$8:$D$42,ROW('03.Muestra'!$C$8:$C$42)-MIN(ROW('03.Muestra'!$D$8:$D$42))+1,""),ROW()-1462)),"")</f>
        <v>Home - PortCastelló</v>
      </c>
      <c r="C1483" s="114" t="str" cm="1">
        <f t="array" ref="C1483">IFERROR(INDEX('03.Muestra'!$F$8:$F$42,SMALL(IF("Página Web"='03.Muestra'!$D$8:$D$42,ROW('03.Muestra'!$F$8:$F$42)-MIN(ROW('03.Muestra'!$D$8:$D$42))+1,""),ROW()-1462)),"")</f>
        <v>https://www.portcastello.com/</v>
      </c>
      <c r="D1483" s="130" t="s">
        <v>37</v>
      </c>
      <c r="E1483" s="107" t="str">
        <f t="shared" si="76"/>
        <v/>
      </c>
      <c r="F1483" s="19"/>
      <c r="G1483" s="19"/>
      <c r="H1483" s="19"/>
      <c r="I1483" s="19"/>
      <c r="J1483" s="19"/>
      <c r="K1483" s="233"/>
      <c r="L1483" s="19"/>
    </row>
    <row r="1484" spans="1:12" ht="12" customHeight="1">
      <c r="A1484" s="219" t="n" cm="1">
        <f t="array" ref="A1484">IFERROR(INDEX('03.Muestra'!$B$8:$B$42,SMALL(IF("Página Web"='03.Muestra'!$D$8:$D$42,ROW('03.Muestra'!$B$8:$B$42)-MIN(ROW('03.Muestra'!$D$8:$D$42))+1,""),ROW()-1462)),"")</f>
        <v>1.0</v>
      </c>
      <c r="B1484" s="114" t="str" cm="1">
        <f t="array" ref="B1484">IFERROR(INDEX('03.Muestra'!$C$8:$C$42,SMALL(IF("Página Web"='03.Muestra'!$D$8:$D$42,ROW('03.Muestra'!$C$8:$C$42)-MIN(ROW('03.Muestra'!$D$8:$D$42))+1,""),ROW()-1462)),"")</f>
        <v>Home - PortCastelló</v>
      </c>
      <c r="C1484" s="114" t="str" cm="1">
        <f t="array" ref="C1484">IFERROR(INDEX('03.Muestra'!$F$8:$F$42,SMALL(IF("Página Web"='03.Muestra'!$D$8:$D$42,ROW('03.Muestra'!$F$8:$F$42)-MIN(ROW('03.Muestra'!$D$8:$D$42))+1,""),ROW()-1462)),"")</f>
        <v>https://www.portcastello.com/</v>
      </c>
      <c r="D1484" s="130" t="s">
        <v>37</v>
      </c>
      <c r="E1484" s="107" t="str">
        <f t="shared" si="76"/>
        <v/>
      </c>
      <c r="F1484" s="19"/>
      <c r="G1484" s="19"/>
      <c r="H1484" s="19"/>
      <c r="I1484" s="19"/>
      <c r="J1484" s="19"/>
      <c r="K1484" s="233"/>
      <c r="L1484" s="19"/>
    </row>
    <row r="1485" spans="1:12" ht="12" customHeight="1">
      <c r="A1485" s="219" t="n" cm="1">
        <f t="array" ref="A1485">IFERROR(INDEX('03.Muestra'!$B$8:$B$42,SMALL(IF("Página Web"='03.Muestra'!$D$8:$D$42,ROW('03.Muestra'!$B$8:$B$42)-MIN(ROW('03.Muestra'!$D$8:$D$42))+1,""),ROW()-1462)),"")</f>
        <v>1.0</v>
      </c>
      <c r="B1485" s="114" t="str" cm="1">
        <f t="array" ref="B1485">IFERROR(INDEX('03.Muestra'!$C$8:$C$42,SMALL(IF("Página Web"='03.Muestra'!$D$8:$D$42,ROW('03.Muestra'!$C$8:$C$42)-MIN(ROW('03.Muestra'!$D$8:$D$42))+1,""),ROW()-1462)),"")</f>
        <v>Home - PortCastelló</v>
      </c>
      <c r="C1485" s="114" t="str" cm="1">
        <f t="array" ref="C1485">IFERROR(INDEX('03.Muestra'!$F$8:$F$42,SMALL(IF("Página Web"='03.Muestra'!$D$8:$D$42,ROW('03.Muestra'!$F$8:$F$42)-MIN(ROW('03.Muestra'!$D$8:$D$42))+1,""),ROW()-1462)),"")</f>
        <v>https://www.portcastello.com/</v>
      </c>
      <c r="D1485" s="130" t="s">
        <v>37</v>
      </c>
      <c r="E1485" s="107" t="str">
        <f t="shared" si="76"/>
        <v/>
      </c>
      <c r="F1485" s="19"/>
      <c r="G1485" s="19"/>
      <c r="H1485" s="19"/>
      <c r="I1485" s="19"/>
      <c r="J1485" s="19"/>
      <c r="K1485" s="233"/>
      <c r="L1485" s="19"/>
    </row>
    <row r="1486" spans="1:12" ht="12" customHeight="1">
      <c r="A1486" s="219" t="n" cm="1">
        <f t="array" ref="A1486">IFERROR(INDEX('03.Muestra'!$B$8:$B$42,SMALL(IF("Página Web"='03.Muestra'!$D$8:$D$42,ROW('03.Muestra'!$B$8:$B$42)-MIN(ROW('03.Muestra'!$D$8:$D$42))+1,""),ROW()-1462)),"")</f>
        <v>1.0</v>
      </c>
      <c r="B1486" s="114" t="str" cm="1">
        <f t="array" ref="B1486">IFERROR(INDEX('03.Muestra'!$C$8:$C$42,SMALL(IF("Página Web"='03.Muestra'!$D$8:$D$42,ROW('03.Muestra'!$C$8:$C$42)-MIN(ROW('03.Muestra'!$D$8:$D$42))+1,""),ROW()-1462)),"")</f>
        <v>Home - PortCastelló</v>
      </c>
      <c r="C1486" s="114" t="str" cm="1">
        <f t="array" ref="C1486">IFERROR(INDEX('03.Muestra'!$F$8:$F$42,SMALL(IF("Página Web"='03.Muestra'!$D$8:$D$42,ROW('03.Muestra'!$F$8:$F$42)-MIN(ROW('03.Muestra'!$D$8:$D$42))+1,""),ROW()-1462)),"")</f>
        <v>https://www.portcastello.com/</v>
      </c>
      <c r="D1486" s="130" t="s">
        <v>37</v>
      </c>
      <c r="E1486" s="107" t="str">
        <f t="shared" si="76"/>
        <v/>
      </c>
      <c r="F1486" s="19"/>
      <c r="G1486" s="19"/>
      <c r="H1486" s="19"/>
      <c r="I1486" s="19"/>
      <c r="J1486" s="19"/>
      <c r="K1486" s="233"/>
      <c r="L1486" s="19"/>
    </row>
    <row r="1487" spans="1:12" ht="12" customHeight="1">
      <c r="A1487" s="219" t="n" cm="1">
        <f t="array" ref="A1487">IFERROR(INDEX('03.Muestra'!$B$8:$B$42,SMALL(IF("Página Web"='03.Muestra'!$D$8:$D$42,ROW('03.Muestra'!$B$8:$B$42)-MIN(ROW('03.Muestra'!$D$8:$D$42))+1,""),ROW()-1462)),"")</f>
        <v>1.0</v>
      </c>
      <c r="B1487" s="114" t="str" cm="1">
        <f t="array" ref="B1487">IFERROR(INDEX('03.Muestra'!$C$8:$C$42,SMALL(IF("Página Web"='03.Muestra'!$D$8:$D$42,ROW('03.Muestra'!$C$8:$C$42)-MIN(ROW('03.Muestra'!$D$8:$D$42))+1,""),ROW()-1462)),"")</f>
        <v>Home - PortCastelló</v>
      </c>
      <c r="C1487" s="114" t="str" cm="1">
        <f t="array" ref="C1487">IFERROR(INDEX('03.Muestra'!$F$8:$F$42,SMALL(IF("Página Web"='03.Muestra'!$D$8:$D$42,ROW('03.Muestra'!$F$8:$F$42)-MIN(ROW('03.Muestra'!$D$8:$D$42))+1,""),ROW()-1462)),"")</f>
        <v>https://www.portcastello.com/</v>
      </c>
      <c r="D1487" s="130" t="s">
        <v>37</v>
      </c>
      <c r="E1487" s="107" t="str">
        <f t="shared" si="76"/>
        <v/>
      </c>
      <c r="F1487" s="19"/>
      <c r="G1487" s="19"/>
      <c r="H1487" s="19"/>
      <c r="I1487" s="19"/>
      <c r="J1487" s="19"/>
      <c r="K1487" s="233"/>
      <c r="L1487" s="19"/>
    </row>
    <row r="1488" spans="1:12" ht="12" customHeight="1">
      <c r="A1488" s="219" t="n" cm="1">
        <f t="array" ref="A1488">IFERROR(INDEX('03.Muestra'!$B$8:$B$42,SMALL(IF("Página Web"='03.Muestra'!$D$8:$D$42,ROW('03.Muestra'!$B$8:$B$42)-MIN(ROW('03.Muestra'!$D$8:$D$42))+1,""),ROW()-1462)),"")</f>
        <v>1.0</v>
      </c>
      <c r="B1488" s="114" t="str" cm="1">
        <f t="array" ref="B1488">IFERROR(INDEX('03.Muestra'!$C$8:$C$42,SMALL(IF("Página Web"='03.Muestra'!$D$8:$D$42,ROW('03.Muestra'!$C$8:$C$42)-MIN(ROW('03.Muestra'!$D$8:$D$42))+1,""),ROW()-1462)),"")</f>
        <v>Home - PortCastelló</v>
      </c>
      <c r="C1488" s="114" t="str" cm="1">
        <f t="array" ref="C1488">IFERROR(INDEX('03.Muestra'!$F$8:$F$42,SMALL(IF("Página Web"='03.Muestra'!$D$8:$D$42,ROW('03.Muestra'!$F$8:$F$42)-MIN(ROW('03.Muestra'!$D$8:$D$42))+1,""),ROW()-1462)),"")</f>
        <v>https://www.portcastello.com/</v>
      </c>
      <c r="D1488" s="130" t="s">
        <v>37</v>
      </c>
      <c r="E1488" s="107" t="str">
        <f t="shared" si="76"/>
        <v/>
      </c>
      <c r="F1488" s="19"/>
      <c r="G1488" s="19"/>
      <c r="H1488" s="19"/>
      <c r="I1488" s="19"/>
      <c r="J1488" s="19"/>
      <c r="K1488" s="233"/>
      <c r="L1488" s="19"/>
    </row>
    <row r="1489" spans="1:12" ht="12" customHeight="1">
      <c r="A1489" s="219" t="n" cm="1">
        <f t="array" ref="A1489">IFERROR(INDEX('03.Muestra'!$B$8:$B$42,SMALL(IF("Página Web"='03.Muestra'!$D$8:$D$42,ROW('03.Muestra'!$B$8:$B$42)-MIN(ROW('03.Muestra'!$D$8:$D$42))+1,""),ROW()-1462)),"")</f>
        <v>1.0</v>
      </c>
      <c r="B1489" s="114" t="str" cm="1">
        <f t="array" ref="B1489">IFERROR(INDEX('03.Muestra'!$C$8:$C$42,SMALL(IF("Página Web"='03.Muestra'!$D$8:$D$42,ROW('03.Muestra'!$C$8:$C$42)-MIN(ROW('03.Muestra'!$D$8:$D$42))+1,""),ROW()-1462)),"")</f>
        <v>Home - PortCastelló</v>
      </c>
      <c r="C1489" s="114" t="str" cm="1">
        <f t="array" ref="C1489">IFERROR(INDEX('03.Muestra'!$F$8:$F$42,SMALL(IF("Página Web"='03.Muestra'!$D$8:$D$42,ROW('03.Muestra'!$F$8:$F$42)-MIN(ROW('03.Muestra'!$D$8:$D$42))+1,""),ROW()-1462)),"")</f>
        <v>https://www.portcastello.com/</v>
      </c>
      <c r="D1489" s="130" t="s">
        <v>37</v>
      </c>
      <c r="E1489" s="107" t="str">
        <f t="shared" si="76"/>
        <v/>
      </c>
      <c r="F1489" s="19"/>
      <c r="G1489" s="19"/>
      <c r="H1489" s="19"/>
      <c r="I1489" s="19"/>
      <c r="J1489" s="19"/>
      <c r="K1489" s="233"/>
      <c r="L1489" s="19"/>
    </row>
    <row r="1490" spans="1:12" ht="12" customHeight="1">
      <c r="A1490" s="219" t="n" cm="1">
        <f t="array" ref="A1490">IFERROR(INDEX('03.Muestra'!$B$8:$B$42,SMALL(IF("Página Web"='03.Muestra'!$D$8:$D$42,ROW('03.Muestra'!$B$8:$B$42)-MIN(ROW('03.Muestra'!$D$8:$D$42))+1,""),ROW()-1462)),"")</f>
        <v>1.0</v>
      </c>
      <c r="B1490" s="114" t="str" cm="1">
        <f t="array" ref="B1490">IFERROR(INDEX('03.Muestra'!$C$8:$C$42,SMALL(IF("Página Web"='03.Muestra'!$D$8:$D$42,ROW('03.Muestra'!$C$8:$C$42)-MIN(ROW('03.Muestra'!$D$8:$D$42))+1,""),ROW()-1462)),"")</f>
        <v>Home - PortCastelló</v>
      </c>
      <c r="C1490" s="114" t="str" cm="1">
        <f t="array" ref="C1490">IFERROR(INDEX('03.Muestra'!$F$8:$F$42,SMALL(IF("Página Web"='03.Muestra'!$D$8:$D$42,ROW('03.Muestra'!$F$8:$F$42)-MIN(ROW('03.Muestra'!$D$8:$D$42))+1,""),ROW()-1462)),"")</f>
        <v>https://www.portcastello.com/</v>
      </c>
      <c r="D1490" s="130" t="s">
        <v>37</v>
      </c>
      <c r="E1490" s="107" t="str">
        <f t="shared" si="76"/>
        <v/>
      </c>
      <c r="G1490" s="19"/>
      <c r="H1490" s="19"/>
      <c r="I1490" s="19"/>
      <c r="J1490" s="19"/>
      <c r="K1490" s="233"/>
      <c r="L1490" s="19"/>
    </row>
    <row r="1491" spans="1:12" ht="12" customHeight="1">
      <c r="A1491" s="219" t="n" cm="1">
        <f t="array" ref="A1491">IFERROR(INDEX('03.Muestra'!$B$8:$B$42,SMALL(IF("Página Web"='03.Muestra'!$D$8:$D$42,ROW('03.Muestra'!$B$8:$B$42)-MIN(ROW('03.Muestra'!$D$8:$D$42))+1,""),ROW()-1462)),"")</f>
        <v>1.0</v>
      </c>
      <c r="B1491" s="114" t="str" cm="1">
        <f t="array" ref="B1491">IFERROR(INDEX('03.Muestra'!$C$8:$C$42,SMALL(IF("Página Web"='03.Muestra'!$D$8:$D$42,ROW('03.Muestra'!$C$8:$C$42)-MIN(ROW('03.Muestra'!$D$8:$D$42))+1,""),ROW()-1462)),"")</f>
        <v>Home - PortCastelló</v>
      </c>
      <c r="C1491" s="114" t="str" cm="1">
        <f t="array" ref="C1491">IFERROR(INDEX('03.Muestra'!$F$8:$F$42,SMALL(IF("Página Web"='03.Muestra'!$D$8:$D$42,ROW('03.Muestra'!$F$8:$F$42)-MIN(ROW('03.Muestra'!$D$8:$D$42))+1,""),ROW()-1462)),"")</f>
        <v>https://www.portcastello.com/</v>
      </c>
      <c r="D1491" s="130" t="s">
        <v>37</v>
      </c>
      <c r="E1491" s="107" t="str">
        <f t="shared" si="76"/>
        <v/>
      </c>
      <c r="F1491" s="124"/>
      <c r="G1491" s="19"/>
      <c r="H1491" s="19"/>
      <c r="I1491" s="19"/>
      <c r="J1491" s="19"/>
      <c r="K1491" s="233"/>
      <c r="L1491" s="19"/>
    </row>
    <row r="1492" spans="1:12" ht="12" customHeight="1">
      <c r="A1492" s="219" t="n" cm="1">
        <f t="array" ref="A1492">IFERROR(INDEX('03.Muestra'!$B$8:$B$42,SMALL(IF("Página Web"='03.Muestra'!$D$8:$D$42,ROW('03.Muestra'!$B$8:$B$42)-MIN(ROW('03.Muestra'!$D$8:$D$42))+1,""),ROW()-1462)),"")</f>
        <v>1.0</v>
      </c>
      <c r="B1492" s="114" t="str" cm="1">
        <f t="array" ref="B1492">IFERROR(INDEX('03.Muestra'!$C$8:$C$42,SMALL(IF("Página Web"='03.Muestra'!$D$8:$D$42,ROW('03.Muestra'!$C$8:$C$42)-MIN(ROW('03.Muestra'!$D$8:$D$42))+1,""),ROW()-1462)),"")</f>
        <v>Home - PortCastelló</v>
      </c>
      <c r="C1492" s="114" t="str" cm="1">
        <f t="array" ref="C1492">IFERROR(INDEX('03.Muestra'!$F$8:$F$42,SMALL(IF("Página Web"='03.Muestra'!$D$8:$D$42,ROW('03.Muestra'!$F$8:$F$42)-MIN(ROW('03.Muestra'!$D$8:$D$42))+1,""),ROW()-1462)),"")</f>
        <v>https://www.portcastello.com/</v>
      </c>
      <c r="D1492" s="130" t="s">
        <v>37</v>
      </c>
      <c r="E1492" s="107" t="str">
        <f t="shared" si="76"/>
        <v/>
      </c>
      <c r="F1492" s="124"/>
      <c r="G1492" s="19"/>
      <c r="H1492" s="19"/>
      <c r="I1492" s="19"/>
      <c r="J1492" s="19"/>
      <c r="K1492" s="233"/>
      <c r="L1492" s="19"/>
    </row>
    <row r="1493" spans="1:12" ht="12" customHeight="1">
      <c r="A1493" s="219" t="n" cm="1">
        <f t="array" ref="A1493">IFERROR(INDEX('03.Muestra'!$B$8:$B$42,SMALL(IF("Página Web"='03.Muestra'!$D$8:$D$42,ROW('03.Muestra'!$B$8:$B$42)-MIN(ROW('03.Muestra'!$D$8:$D$42))+1,""),ROW()-1462)),"")</f>
        <v>1.0</v>
      </c>
      <c r="B1493" s="114" t="str" cm="1">
        <f t="array" ref="B1493">IFERROR(INDEX('03.Muestra'!$C$8:$C$42,SMALL(IF("Página Web"='03.Muestra'!$D$8:$D$42,ROW('03.Muestra'!$C$8:$C$42)-MIN(ROW('03.Muestra'!$D$8:$D$42))+1,""),ROW()-1462)),"")</f>
        <v>Home - PortCastelló</v>
      </c>
      <c r="C1493" s="114" t="str" cm="1">
        <f t="array" ref="C1493">IFERROR(INDEX('03.Muestra'!$F$8:$F$42,SMALL(IF("Página Web"='03.Muestra'!$D$8:$D$42,ROW('03.Muestra'!$F$8:$F$42)-MIN(ROW('03.Muestra'!$D$8:$D$42))+1,""),ROW()-1462)),"")</f>
        <v>https://www.portcastello.com/</v>
      </c>
      <c r="D1493" s="130" t="s">
        <v>37</v>
      </c>
      <c r="E1493" s="107" t="str">
        <f t="shared" si="76"/>
        <v/>
      </c>
      <c r="F1493" s="124"/>
      <c r="G1493" s="19"/>
      <c r="H1493" s="19"/>
      <c r="I1493" s="19"/>
      <c r="J1493" s="19"/>
      <c r="K1493" s="233"/>
      <c r="L1493" s="19"/>
    </row>
    <row r="1494" spans="1:12" ht="12" customHeight="1">
      <c r="A1494" s="219" t="n" cm="1">
        <f t="array" ref="A1494">IFERROR(INDEX('03.Muestra'!$B$8:$B$42,SMALL(IF("Página Web"='03.Muestra'!$D$8:$D$42,ROW('03.Muestra'!$B$8:$B$42)-MIN(ROW('03.Muestra'!$D$8:$D$42))+1,""),ROW()-1462)),"")</f>
        <v>1.0</v>
      </c>
      <c r="B1494" s="114" t="str" cm="1">
        <f t="array" ref="B1494">IFERROR(INDEX('03.Muestra'!$C$8:$C$42,SMALL(IF("Página Web"='03.Muestra'!$D$8:$D$42,ROW('03.Muestra'!$C$8:$C$42)-MIN(ROW('03.Muestra'!$D$8:$D$42))+1,""),ROW()-1462)),"")</f>
        <v>Home - PortCastelló</v>
      </c>
      <c r="C1494" s="114" t="str" cm="1">
        <f t="array" ref="C1494">IFERROR(INDEX('03.Muestra'!$F$8:$F$42,SMALL(IF("Página Web"='03.Muestra'!$D$8:$D$42,ROW('03.Muestra'!$F$8:$F$42)-MIN(ROW('03.Muestra'!$D$8:$D$42))+1,""),ROW()-1462)),"")</f>
        <v>https://www.portcastello.com/</v>
      </c>
      <c r="D1494" s="130" t="s">
        <v>37</v>
      </c>
      <c r="E1494" s="107" t="str">
        <f t="shared" si="76"/>
        <v/>
      </c>
      <c r="F1494" s="124"/>
      <c r="G1494" s="19"/>
      <c r="H1494" s="19"/>
      <c r="I1494" s="19"/>
      <c r="J1494" s="19"/>
      <c r="K1494" s="233"/>
      <c r="L1494" s="19"/>
    </row>
    <row r="1495" spans="1:12" ht="12" customHeight="1">
      <c r="A1495" s="219" t="n" cm="1">
        <f t="array" ref="A1495">IFERROR(INDEX('03.Muestra'!$B$8:$B$42,SMALL(IF("Página Web"='03.Muestra'!$D$8:$D$42,ROW('03.Muestra'!$B$8:$B$42)-MIN(ROW('03.Muestra'!$D$8:$D$42))+1,""),ROW()-1462)),"")</f>
        <v>1.0</v>
      </c>
      <c r="B1495" s="114" t="str" cm="1">
        <f t="array" ref="B1495">IFERROR(INDEX('03.Muestra'!$C$8:$C$42,SMALL(IF("Página Web"='03.Muestra'!$D$8:$D$42,ROW('03.Muestra'!$C$8:$C$42)-MIN(ROW('03.Muestra'!$D$8:$D$42))+1,""),ROW()-1462)),"")</f>
        <v>Home - PortCastelló</v>
      </c>
      <c r="C1495" s="114" t="str" cm="1">
        <f t="array" ref="C1495">IFERROR(INDEX('03.Muestra'!$F$8:$F$42,SMALL(IF("Página Web"='03.Muestra'!$D$8:$D$42,ROW('03.Muestra'!$F$8:$F$42)-MIN(ROW('03.Muestra'!$D$8:$D$42))+1,""),ROW()-1462)),"")</f>
        <v>https://www.portcastello.com/</v>
      </c>
      <c r="D1495" s="130" t="s">
        <v>37</v>
      </c>
      <c r="E1495" s="107" t="str">
        <f t="shared" si="76"/>
        <v/>
      </c>
      <c r="F1495" s="124"/>
      <c r="G1495" s="19"/>
      <c r="H1495" s="19"/>
      <c r="I1495" s="19"/>
      <c r="J1495" s="19"/>
      <c r="K1495" s="233"/>
      <c r="L1495" s="19"/>
    </row>
    <row r="1496" spans="1:12" ht="12" customHeight="1">
      <c r="A1496" s="219" t="str" cm="1">
        <f t="array" ref="A1496">IFERROR(INDEX('03.Muestra'!$B$8:$B$42,SMALL(IF("Página Web"='03.Muestra'!$D$8:$D$42,ROW('03.Muestra'!$B$8:$B$42)-MIN(ROW('03.Muestra'!$D$8:$D$42))+1,""),ROW()-1462)),"")</f>
        <v/>
      </c>
      <c r="B1496" s="114" t="str" cm="1">
        <f t="array" ref="B1496">IFERROR(INDEX('03.Muestra'!$C$8:$C$42,SMALL(IF("Página Web"='03.Muestra'!$D$8:$D$42,ROW('03.Muestra'!$C$8:$C$42)-MIN(ROW('03.Muestra'!$D$8:$D$42))+1,""),ROW()-1462)),"")</f>
        <v/>
      </c>
      <c r="C1496" s="114" t="str" cm="1">
        <f t="array" ref="C1496">IFERROR(INDEX('03.Muestra'!$F$8:$F$42,SMALL(IF("Página Web"='03.Muestra'!$D$8:$D$42,ROW('03.Muestra'!$F$8:$F$42)-MIN(ROW('03.Muestra'!$D$8:$D$42))+1,""),ROW()-1462)),"")</f>
        <v/>
      </c>
      <c r="D1496" s="130" t="str">
        <f t="shared" si="77" ref="D1496:D1497">IF(AND(B1496&lt;&gt;"",C1496&lt;&gt;""),"N/T","")</f>
        <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268</v>
      </c>
      <c r="B1500" s="24" t="s">
        <v>90</v>
      </c>
      <c r="C1500" s="25" t="s">
        <v>412</v>
      </c>
      <c r="D1500" s="26" t="s">
        <v>32</v>
      </c>
      <c r="E1500" s="123"/>
      <c r="K1500" s="233"/>
      <c r="L1500" s="19"/>
    </row>
    <row r="1501" spans="1:12" ht="12" customHeight="1">
      <c r="A1501" s="219" t="n" cm="1">
        <f t="array" ref="A1501">IFERROR(INDEX('03.Muestra'!$B$8:$B$42,SMALL(IF("Página Web"='03.Muestra'!$D$8:$D$42,ROW('03.Muestra'!$B$8:$B$42)-MIN(ROW('03.Muestra'!$D$8:$D$42))+1,""),ROW()-1500)),"")</f>
        <v>1.0</v>
      </c>
      <c r="B1501" s="114" t="str" cm="1">
        <f t="array" ref="B1501">IFERROR(INDEX('03.Muestra'!$C$8:$C$42,SMALL(IF("Página Web"='03.Muestra'!$D$8:$D$42,ROW('03.Muestra'!$C$8:$C$42)-MIN(ROW('03.Muestra'!$D$8:$D$42))+1,""),ROW()-1500)),"")</f>
        <v>Home - PortCastelló</v>
      </c>
      <c r="C1501" s="114" t="str" cm="1">
        <f t="array" ref="C1501">IFERROR(INDEX('03.Muestra'!$F$8:$F$42,SMALL(IF("Página Web"='03.Muestra'!$D$8:$D$42,ROW('03.Muestra'!$F$8:$F$42)-MIN(ROW('03.Muestra'!$D$8:$D$42))+1,""),ROW()-1500)),"")</f>
        <v>https://www.portcastello.com/</v>
      </c>
      <c r="D1501" s="130" t="s">
        <v>37</v>
      </c>
      <c r="E1501" s="107" t="str">
        <f t="shared" ref="E1501:E1535" si="78">IF(D1501&lt;&gt;"",IF(AND(B1501&lt;&gt;"",C1501&lt;&gt;""),"","ERR"),"")</f>
        <v/>
      </c>
      <c r="F1501" s="115" t="s">
        <v>33</v>
      </c>
      <c r="G1501" s="116" t="s">
        <v>37</v>
      </c>
      <c r="H1501" s="117" t="s">
        <v>35</v>
      </c>
      <c r="I1501" s="118" t="s">
        <v>28</v>
      </c>
      <c r="J1501" s="119" t="s">
        <v>26</v>
      </c>
      <c r="K1501" s="226" t="s">
        <v>474</v>
      </c>
      <c r="L1501" s="19"/>
    </row>
    <row r="1502" spans="1:12" ht="12" customHeight="1">
      <c r="A1502" s="219" t="n" cm="1">
        <f t="array" ref="A1502">IFERROR(INDEX('03.Muestra'!$B$8:$B$42,SMALL(IF("Página Web"='03.Muestra'!$D$8:$D$42,ROW('03.Muestra'!$B$8:$B$42)-MIN(ROW('03.Muestra'!$D$8:$D$42))+1,""),ROW()-1500)),"")</f>
        <v>1.0</v>
      </c>
      <c r="B1502" s="114" t="str" cm="1">
        <f t="array" ref="B1502">IFERROR(INDEX('03.Muestra'!$C$8:$C$42,SMALL(IF("Página Web"='03.Muestra'!$D$8:$D$42,ROW('03.Muestra'!$C$8:$C$42)-MIN(ROW('03.Muestra'!$D$8:$D$42))+1,""),ROW()-1500)),"")</f>
        <v>Home - PortCastelló</v>
      </c>
      <c r="C1502" s="114" t="str" cm="1">
        <f t="array" ref="C1502">IFERROR(INDEX('03.Muestra'!$F$8:$F$42,SMALL(IF("Página Web"='03.Muestra'!$D$8:$D$42,ROW('03.Muestra'!$F$8:$F$42)-MIN(ROW('03.Muestra'!$D$8:$D$42))+1,""),ROW()-1500)),"")</f>
        <v>https://www.portcastello.com/</v>
      </c>
      <c r="D1502" s="130" t="s">
        <v>37</v>
      </c>
      <c r="E1502" s="107" t="str">
        <f t="shared" si="78"/>
        <v/>
      </c>
      <c r="F1502" s="120" t="n">
        <f ca="1">COUNTIF($D1501:INDIRECT("$D" &amp;  SUM(ROW()-1,'03.Muestra'!$D$45)-1),F1501)</f>
        <v>0.0</v>
      </c>
      <c r="G1502" s="120" t="n">
        <f ca="1">COUNTIF($D1501:INDIRECT("$D" &amp;  SUM(ROW()-1,'03.Muestra'!$D$45)-1),G1501)</f>
        <v>33.0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IF(COUNTIF('03.Muestra'!$D$8:$D$42,"Página Web")=0,0,COUNTBLANK($D1501:INDIRECT("$D" &amp;  SUM(ROW()-1,COUNTIF('03.Muestra'!$D$8:$D$42,"Página Web"))-1)))</f>
        <v>0.0</v>
      </c>
      <c r="L1502" s="19"/>
    </row>
    <row r="1503" spans="1:12" ht="12" customHeight="1">
      <c r="A1503" s="219" t="n" cm="1">
        <f t="array" ref="A1503">IFERROR(INDEX('03.Muestra'!$B$8:$B$42,SMALL(IF("Página Web"='03.Muestra'!$D$8:$D$42,ROW('03.Muestra'!$B$8:$B$42)-MIN(ROW('03.Muestra'!$D$8:$D$42))+1,""),ROW()-1500)),"")</f>
        <v>1.0</v>
      </c>
      <c r="B1503" s="114" t="str" cm="1">
        <f t="array" ref="B1503">IFERROR(INDEX('03.Muestra'!$C$8:$C$42,SMALL(IF("Página Web"='03.Muestra'!$D$8:$D$42,ROW('03.Muestra'!$C$8:$C$42)-MIN(ROW('03.Muestra'!$D$8:$D$42))+1,""),ROW()-1500)),"")</f>
        <v>Home - PortCastelló</v>
      </c>
      <c r="C1503" s="114" t="str" cm="1">
        <f t="array" ref="C1503">IFERROR(INDEX('03.Muestra'!$F$8:$F$42,SMALL(IF("Página Web"='03.Muestra'!$D$8:$D$42,ROW('03.Muestra'!$F$8:$F$42)-MIN(ROW('03.Muestra'!$D$8:$D$42))+1,""),ROW()-1500)),"")</f>
        <v>https://www.portcastello.com/</v>
      </c>
      <c r="D1503" s="130" t="s">
        <v>37</v>
      </c>
      <c r="E1503" s="107" t="str">
        <f t="shared" si="78"/>
        <v/>
      </c>
      <c r="G1503" s="19"/>
      <c r="H1503" s="19"/>
      <c r="I1503" s="19"/>
      <c r="J1503" s="19"/>
      <c r="K1503" s="233"/>
      <c r="L1503" s="19"/>
    </row>
    <row r="1504" spans="1:12" ht="12" customHeight="1">
      <c r="A1504" s="219" t="n" cm="1">
        <f t="array" ref="A1504">IFERROR(INDEX('03.Muestra'!$B$8:$B$42,SMALL(IF("Página Web"='03.Muestra'!$D$8:$D$42,ROW('03.Muestra'!$B$8:$B$42)-MIN(ROW('03.Muestra'!$D$8:$D$42))+1,""),ROW()-1500)),"")</f>
        <v>1.0</v>
      </c>
      <c r="B1504" s="114" t="str" cm="1">
        <f t="array" ref="B1504">IFERROR(INDEX('03.Muestra'!$C$8:$C$42,SMALL(IF("Página Web"='03.Muestra'!$D$8:$D$42,ROW('03.Muestra'!$C$8:$C$42)-MIN(ROW('03.Muestra'!$D$8:$D$42))+1,""),ROW()-1500)),"")</f>
        <v>Home - PortCastelló</v>
      </c>
      <c r="C1504" s="114" t="str" cm="1">
        <f t="array" ref="C1504">IFERROR(INDEX('03.Muestra'!$F$8:$F$42,SMALL(IF("Página Web"='03.Muestra'!$D$8:$D$42,ROW('03.Muestra'!$F$8:$F$42)-MIN(ROW('03.Muestra'!$D$8:$D$42))+1,""),ROW()-1500)),"")</f>
        <v>https://www.portcastello.com/</v>
      </c>
      <c r="D1504" s="130" t="s">
        <v>37</v>
      </c>
      <c r="E1504" s="107" t="str">
        <f t="shared" si="78"/>
        <v/>
      </c>
      <c r="G1504" s="19"/>
      <c r="H1504" s="19"/>
      <c r="I1504" s="19"/>
      <c r="J1504" s="19"/>
      <c r="K1504" s="233"/>
      <c r="L1504" s="19"/>
    </row>
    <row r="1505" spans="1:12" ht="12" customHeight="1">
      <c r="A1505" s="219" t="n" cm="1">
        <f t="array" ref="A1505">IFERROR(INDEX('03.Muestra'!$B$8:$B$42,SMALL(IF("Página Web"='03.Muestra'!$D$8:$D$42,ROW('03.Muestra'!$B$8:$B$42)-MIN(ROW('03.Muestra'!$D$8:$D$42))+1,""),ROW()-1500)),"")</f>
        <v>1.0</v>
      </c>
      <c r="B1505" s="114" t="str" cm="1">
        <f t="array" ref="B1505">IFERROR(INDEX('03.Muestra'!$C$8:$C$42,SMALL(IF("Página Web"='03.Muestra'!$D$8:$D$42,ROW('03.Muestra'!$C$8:$C$42)-MIN(ROW('03.Muestra'!$D$8:$D$42))+1,""),ROW()-1500)),"")</f>
        <v>Home - PortCastelló</v>
      </c>
      <c r="C1505" s="114" t="str" cm="1">
        <f t="array" ref="C1505">IFERROR(INDEX('03.Muestra'!$F$8:$F$42,SMALL(IF("Página Web"='03.Muestra'!$D$8:$D$42,ROW('03.Muestra'!$F$8:$F$42)-MIN(ROW('03.Muestra'!$D$8:$D$42))+1,""),ROW()-1500)),"")</f>
        <v>https://www.portcastello.com/</v>
      </c>
      <c r="D1505" s="130" t="s">
        <v>37</v>
      </c>
      <c r="E1505" s="107" t="str">
        <f t="shared" si="78"/>
        <v/>
      </c>
      <c r="G1505" s="19"/>
      <c r="H1505" s="19"/>
      <c r="I1505" s="19"/>
      <c r="J1505" s="19"/>
      <c r="K1505" s="233"/>
      <c r="L1505" s="19"/>
    </row>
    <row r="1506" spans="1:12" ht="12" customHeight="1">
      <c r="A1506" s="219" t="n" cm="1">
        <f t="array" ref="A1506">IFERROR(INDEX('03.Muestra'!$B$8:$B$42,SMALL(IF("Página Web"='03.Muestra'!$D$8:$D$42,ROW('03.Muestra'!$B$8:$B$42)-MIN(ROW('03.Muestra'!$D$8:$D$42))+1,""),ROW()-1500)),"")</f>
        <v>1.0</v>
      </c>
      <c r="B1506" s="114" t="str" cm="1">
        <f t="array" ref="B1506">IFERROR(INDEX('03.Muestra'!$C$8:$C$42,SMALL(IF("Página Web"='03.Muestra'!$D$8:$D$42,ROW('03.Muestra'!$C$8:$C$42)-MIN(ROW('03.Muestra'!$D$8:$D$42))+1,""),ROW()-1500)),"")</f>
        <v>Home - PortCastelló</v>
      </c>
      <c r="C1506" s="114" t="str" cm="1">
        <f t="array" ref="C1506">IFERROR(INDEX('03.Muestra'!$F$8:$F$42,SMALL(IF("Página Web"='03.Muestra'!$D$8:$D$42,ROW('03.Muestra'!$F$8:$F$42)-MIN(ROW('03.Muestra'!$D$8:$D$42))+1,""),ROW()-1500)),"")</f>
        <v>https://www.portcastello.com/</v>
      </c>
      <c r="D1506" s="130" t="s">
        <v>37</v>
      </c>
      <c r="E1506" s="107" t="str">
        <f t="shared" si="78"/>
        <v/>
      </c>
      <c r="G1506" s="19"/>
      <c r="H1506" s="19"/>
      <c r="I1506" s="19"/>
      <c r="J1506" s="19"/>
      <c r="K1506" s="233"/>
      <c r="L1506" s="19"/>
    </row>
    <row r="1507" spans="1:12" ht="12" customHeight="1">
      <c r="A1507" s="219" t="n" cm="1">
        <f t="array" ref="A1507">IFERROR(INDEX('03.Muestra'!$B$8:$B$42,SMALL(IF("Página Web"='03.Muestra'!$D$8:$D$42,ROW('03.Muestra'!$B$8:$B$42)-MIN(ROW('03.Muestra'!$D$8:$D$42))+1,""),ROW()-1500)),"")</f>
        <v>1.0</v>
      </c>
      <c r="B1507" s="114" t="str" cm="1">
        <f t="array" ref="B1507">IFERROR(INDEX('03.Muestra'!$C$8:$C$42,SMALL(IF("Página Web"='03.Muestra'!$D$8:$D$42,ROW('03.Muestra'!$C$8:$C$42)-MIN(ROW('03.Muestra'!$D$8:$D$42))+1,""),ROW()-1500)),"")</f>
        <v>Home - PortCastelló</v>
      </c>
      <c r="C1507" s="114" t="str" cm="1">
        <f t="array" ref="C1507">IFERROR(INDEX('03.Muestra'!$F$8:$F$42,SMALL(IF("Página Web"='03.Muestra'!$D$8:$D$42,ROW('03.Muestra'!$F$8:$F$42)-MIN(ROW('03.Muestra'!$D$8:$D$42))+1,""),ROW()-1500)),"")</f>
        <v>https://www.portcastello.com/</v>
      </c>
      <c r="D1507" s="130" t="s">
        <v>37</v>
      </c>
      <c r="E1507" s="107" t="str">
        <f t="shared" si="78"/>
        <v/>
      </c>
      <c r="F1507" s="19"/>
      <c r="G1507" s="19"/>
      <c r="H1507" s="19"/>
      <c r="I1507" s="19"/>
      <c r="J1507" s="19"/>
      <c r="K1507" s="233"/>
      <c r="L1507" s="19"/>
    </row>
    <row r="1508" spans="1:12" ht="12" customHeight="1">
      <c r="A1508" s="219" t="n" cm="1">
        <f t="array" ref="A1508">IFERROR(INDEX('03.Muestra'!$B$8:$B$42,SMALL(IF("Página Web"='03.Muestra'!$D$8:$D$42,ROW('03.Muestra'!$B$8:$B$42)-MIN(ROW('03.Muestra'!$D$8:$D$42))+1,""),ROW()-1500)),"")</f>
        <v>1.0</v>
      </c>
      <c r="B1508" s="114" t="str" cm="1">
        <f t="array" ref="B1508">IFERROR(INDEX('03.Muestra'!$C$8:$C$42,SMALL(IF("Página Web"='03.Muestra'!$D$8:$D$42,ROW('03.Muestra'!$C$8:$C$42)-MIN(ROW('03.Muestra'!$D$8:$D$42))+1,""),ROW()-1500)),"")</f>
        <v>Home - PortCastelló</v>
      </c>
      <c r="C1508" s="114" t="str" cm="1">
        <f t="array" ref="C1508">IFERROR(INDEX('03.Muestra'!$F$8:$F$42,SMALL(IF("Página Web"='03.Muestra'!$D$8:$D$42,ROW('03.Muestra'!$F$8:$F$42)-MIN(ROW('03.Muestra'!$D$8:$D$42))+1,""),ROW()-1500)),"")</f>
        <v>https://www.portcastello.com/</v>
      </c>
      <c r="D1508" s="130" t="s">
        <v>37</v>
      </c>
      <c r="E1508" s="107" t="str">
        <f t="shared" si="78"/>
        <v/>
      </c>
      <c r="F1508" s="19"/>
      <c r="G1508" s="19"/>
      <c r="H1508" s="19"/>
      <c r="I1508" s="19"/>
      <c r="J1508" s="19"/>
      <c r="K1508" s="233"/>
      <c r="L1508" s="19"/>
    </row>
    <row r="1509" spans="1:12" ht="12" customHeight="1">
      <c r="A1509" s="219" t="n" cm="1">
        <f t="array" ref="A1509">IFERROR(INDEX('03.Muestra'!$B$8:$B$42,SMALL(IF("Página Web"='03.Muestra'!$D$8:$D$42,ROW('03.Muestra'!$B$8:$B$42)-MIN(ROW('03.Muestra'!$D$8:$D$42))+1,""),ROW()-1500)),"")</f>
        <v>1.0</v>
      </c>
      <c r="B1509" s="114" t="str" cm="1">
        <f t="array" ref="B1509">IFERROR(INDEX('03.Muestra'!$C$8:$C$42,SMALL(IF("Página Web"='03.Muestra'!$D$8:$D$42,ROW('03.Muestra'!$C$8:$C$42)-MIN(ROW('03.Muestra'!$D$8:$D$42))+1,""),ROW()-1500)),"")</f>
        <v>Home - PortCastelló</v>
      </c>
      <c r="C1509" s="114" t="str" cm="1">
        <f t="array" ref="C1509">IFERROR(INDEX('03.Muestra'!$F$8:$F$42,SMALL(IF("Página Web"='03.Muestra'!$D$8:$D$42,ROW('03.Muestra'!$F$8:$F$42)-MIN(ROW('03.Muestra'!$D$8:$D$42))+1,""),ROW()-1500)),"")</f>
        <v>https://www.portcastello.com/</v>
      </c>
      <c r="D1509" s="130" t="s">
        <v>37</v>
      </c>
      <c r="E1509" s="107" t="str">
        <f t="shared" si="78"/>
        <v/>
      </c>
      <c r="F1509" s="19"/>
      <c r="G1509" s="19"/>
      <c r="H1509" s="19"/>
      <c r="I1509" s="19"/>
      <c r="J1509" s="19"/>
      <c r="K1509" s="233"/>
      <c r="L1509" s="19"/>
    </row>
    <row r="1510" spans="1:12" ht="12" customHeight="1">
      <c r="A1510" s="219" t="n"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Home - PortCastelló</v>
      </c>
      <c r="C1510" s="114" t="str" cm="1">
        <f t="array" ref="C1510">IFERROR(INDEX('03.Muestra'!$F$8:$F$42,SMALL(IF("Página Web"='03.Muestra'!$D$8:$D$42,ROW('03.Muestra'!$F$8:$F$42)-MIN(ROW('03.Muestra'!$D$8:$D$42))+1,""),ROW()-1500)),"")</f>
        <v>https://www.portcastello.com/</v>
      </c>
      <c r="D1510" s="130" t="s">
        <v>37</v>
      </c>
      <c r="E1510" s="107" t="str">
        <f t="shared" si="78"/>
        <v/>
      </c>
      <c r="F1510" s="19"/>
      <c r="G1510" s="19"/>
      <c r="H1510" s="19"/>
      <c r="I1510" s="19"/>
      <c r="J1510" s="19"/>
      <c r="K1510" s="233"/>
      <c r="L1510" s="19"/>
    </row>
    <row r="1511" spans="1:12" ht="12" customHeight="1">
      <c r="A1511" s="219" t="n" cm="1">
        <f t="array" ref="A1511">IFERROR(INDEX('03.Muestra'!$B$8:$B$42,SMALL(IF("Página Web"='03.Muestra'!$D$8:$D$42,ROW('03.Muestra'!$B$8:$B$42)-MIN(ROW('03.Muestra'!$D$8:$D$42))+1,""),ROW()-1500)),"")</f>
        <v>1.0</v>
      </c>
      <c r="B1511" s="114" t="str" cm="1">
        <f t="array" ref="B1511">IFERROR(INDEX('03.Muestra'!$C$8:$C$42,SMALL(IF("Página Web"='03.Muestra'!$D$8:$D$42,ROW('03.Muestra'!$C$8:$C$42)-MIN(ROW('03.Muestra'!$D$8:$D$42))+1,""),ROW()-1500)),"")</f>
        <v>Home - PortCastelló</v>
      </c>
      <c r="C1511" s="114" t="str" cm="1">
        <f t="array" ref="C1511">IFERROR(INDEX('03.Muestra'!$F$8:$F$42,SMALL(IF("Página Web"='03.Muestra'!$D$8:$D$42,ROW('03.Muestra'!$F$8:$F$42)-MIN(ROW('03.Muestra'!$D$8:$D$42))+1,""),ROW()-1500)),"")</f>
        <v>https://www.portcastello.com/</v>
      </c>
      <c r="D1511" s="130" t="s">
        <v>37</v>
      </c>
      <c r="E1511" s="107" t="str">
        <f t="shared" si="78"/>
        <v/>
      </c>
      <c r="F1511" s="19"/>
      <c r="G1511" s="19"/>
      <c r="H1511" s="19"/>
      <c r="I1511" s="19"/>
      <c r="J1511" s="19"/>
      <c r="K1511" s="233"/>
      <c r="L1511" s="19"/>
    </row>
    <row r="1512" spans="1:12" ht="12" customHeight="1">
      <c r="A1512" s="219" t="n" cm="1">
        <f t="array" ref="A1512">IFERROR(INDEX('03.Muestra'!$B$8:$B$42,SMALL(IF("Página Web"='03.Muestra'!$D$8:$D$42,ROW('03.Muestra'!$B$8:$B$42)-MIN(ROW('03.Muestra'!$D$8:$D$42))+1,""),ROW()-1500)),"")</f>
        <v>1.0</v>
      </c>
      <c r="B1512" s="114" t="str" cm="1">
        <f t="array" ref="B1512">IFERROR(INDEX('03.Muestra'!$C$8:$C$42,SMALL(IF("Página Web"='03.Muestra'!$D$8:$D$42,ROW('03.Muestra'!$C$8:$C$42)-MIN(ROW('03.Muestra'!$D$8:$D$42))+1,""),ROW()-1500)),"")</f>
        <v>Home - PortCastelló</v>
      </c>
      <c r="C1512" s="114" t="str" cm="1">
        <f t="array" ref="C1512">IFERROR(INDEX('03.Muestra'!$F$8:$F$42,SMALL(IF("Página Web"='03.Muestra'!$D$8:$D$42,ROW('03.Muestra'!$F$8:$F$42)-MIN(ROW('03.Muestra'!$D$8:$D$42))+1,""),ROW()-1500)),"")</f>
        <v>https://www.portcastello.com/</v>
      </c>
      <c r="D1512" s="130" t="s">
        <v>37</v>
      </c>
      <c r="E1512" s="107" t="str">
        <f t="shared" si="78"/>
        <v/>
      </c>
      <c r="F1512" s="19"/>
      <c r="G1512" s="19"/>
      <c r="H1512" s="19"/>
      <c r="I1512" s="19"/>
      <c r="J1512" s="19"/>
      <c r="K1512" s="233"/>
      <c r="L1512" s="19"/>
    </row>
    <row r="1513" spans="1:12" ht="12" customHeight="1">
      <c r="A1513" s="219" t="n" cm="1">
        <f t="array" ref="A1513">IFERROR(INDEX('03.Muestra'!$B$8:$B$42,SMALL(IF("Página Web"='03.Muestra'!$D$8:$D$42,ROW('03.Muestra'!$B$8:$B$42)-MIN(ROW('03.Muestra'!$D$8:$D$42))+1,""),ROW()-1500)),"")</f>
        <v>1.0</v>
      </c>
      <c r="B1513" s="114" t="str" cm="1">
        <f t="array" ref="B1513">IFERROR(INDEX('03.Muestra'!$C$8:$C$42,SMALL(IF("Página Web"='03.Muestra'!$D$8:$D$42,ROW('03.Muestra'!$C$8:$C$42)-MIN(ROW('03.Muestra'!$D$8:$D$42))+1,""),ROW()-1500)),"")</f>
        <v>Home - PortCastelló</v>
      </c>
      <c r="C1513" s="114" t="str" cm="1">
        <f t="array" ref="C1513">IFERROR(INDEX('03.Muestra'!$F$8:$F$42,SMALL(IF("Página Web"='03.Muestra'!$D$8:$D$42,ROW('03.Muestra'!$F$8:$F$42)-MIN(ROW('03.Muestra'!$D$8:$D$42))+1,""),ROW()-1500)),"")</f>
        <v>https://www.portcastello.com/</v>
      </c>
      <c r="D1513" s="130" t="s">
        <v>37</v>
      </c>
      <c r="E1513" s="107" t="str">
        <f t="shared" si="78"/>
        <v/>
      </c>
      <c r="F1513" s="19"/>
      <c r="G1513" s="19"/>
      <c r="H1513" s="19"/>
      <c r="I1513" s="19"/>
      <c r="J1513" s="19"/>
      <c r="K1513" s="233"/>
      <c r="L1513" s="19"/>
    </row>
    <row r="1514" spans="1:12" ht="12" customHeight="1">
      <c r="A1514" s="219" t="n" cm="1">
        <f t="array" ref="A1514">IFERROR(INDEX('03.Muestra'!$B$8:$B$42,SMALL(IF("Página Web"='03.Muestra'!$D$8:$D$42,ROW('03.Muestra'!$B$8:$B$42)-MIN(ROW('03.Muestra'!$D$8:$D$42))+1,""),ROW()-1500)),"")</f>
        <v>1.0</v>
      </c>
      <c r="B1514" s="114" t="str" cm="1">
        <f t="array" ref="B1514">IFERROR(INDEX('03.Muestra'!$C$8:$C$42,SMALL(IF("Página Web"='03.Muestra'!$D$8:$D$42,ROW('03.Muestra'!$C$8:$C$42)-MIN(ROW('03.Muestra'!$D$8:$D$42))+1,""),ROW()-1500)),"")</f>
        <v>Home - PortCastelló</v>
      </c>
      <c r="C1514" s="114" t="str" cm="1">
        <f t="array" ref="C1514">IFERROR(INDEX('03.Muestra'!$F$8:$F$42,SMALL(IF("Página Web"='03.Muestra'!$D$8:$D$42,ROW('03.Muestra'!$F$8:$F$42)-MIN(ROW('03.Muestra'!$D$8:$D$42))+1,""),ROW()-1500)),"")</f>
        <v>https://www.portcastello.com/</v>
      </c>
      <c r="D1514" s="130" t="s">
        <v>37</v>
      </c>
      <c r="E1514" s="107" t="str">
        <f t="shared" si="78"/>
        <v/>
      </c>
      <c r="F1514" s="19"/>
      <c r="G1514" s="19"/>
      <c r="H1514" s="19"/>
      <c r="I1514" s="19"/>
      <c r="J1514" s="19"/>
      <c r="K1514" s="233"/>
      <c r="L1514" s="19"/>
    </row>
    <row r="1515" spans="1:12" ht="12" customHeight="1">
      <c r="A1515" s="219" t="n" cm="1">
        <f t="array" ref="A1515">IFERROR(INDEX('03.Muestra'!$B$8:$B$42,SMALL(IF("Página Web"='03.Muestra'!$D$8:$D$42,ROW('03.Muestra'!$B$8:$B$42)-MIN(ROW('03.Muestra'!$D$8:$D$42))+1,""),ROW()-1500)),"")</f>
        <v>1.0</v>
      </c>
      <c r="B1515" s="114" t="str" cm="1">
        <f t="array" ref="B1515">IFERROR(INDEX('03.Muestra'!$C$8:$C$42,SMALL(IF("Página Web"='03.Muestra'!$D$8:$D$42,ROW('03.Muestra'!$C$8:$C$42)-MIN(ROW('03.Muestra'!$D$8:$D$42))+1,""),ROW()-1500)),"")</f>
        <v>Home - PortCastelló</v>
      </c>
      <c r="C1515" s="114" t="str" cm="1">
        <f t="array" ref="C1515">IFERROR(INDEX('03.Muestra'!$F$8:$F$42,SMALL(IF("Página Web"='03.Muestra'!$D$8:$D$42,ROW('03.Muestra'!$F$8:$F$42)-MIN(ROW('03.Muestra'!$D$8:$D$42))+1,""),ROW()-1500)),"")</f>
        <v>https://www.portcastello.com/</v>
      </c>
      <c r="D1515" s="130" t="s">
        <v>37</v>
      </c>
      <c r="E1515" s="107" t="str">
        <f t="shared" si="78"/>
        <v/>
      </c>
      <c r="F1515" s="19"/>
      <c r="G1515" s="19"/>
      <c r="H1515" s="19"/>
      <c r="I1515" s="19"/>
      <c r="J1515" s="19"/>
      <c r="K1515" s="233"/>
      <c r="L1515" s="19"/>
    </row>
    <row r="1516" spans="1:12" ht="12" customHeight="1">
      <c r="A1516" s="219" t="n" cm="1">
        <f t="array" ref="A1516">IFERROR(INDEX('03.Muestra'!$B$8:$B$42,SMALL(IF("Página Web"='03.Muestra'!$D$8:$D$42,ROW('03.Muestra'!$B$8:$B$42)-MIN(ROW('03.Muestra'!$D$8:$D$42))+1,""),ROW()-1500)),"")</f>
        <v>1.0</v>
      </c>
      <c r="B1516" s="114" t="str" cm="1">
        <f t="array" ref="B1516">IFERROR(INDEX('03.Muestra'!$C$8:$C$42,SMALL(IF("Página Web"='03.Muestra'!$D$8:$D$42,ROW('03.Muestra'!$C$8:$C$42)-MIN(ROW('03.Muestra'!$D$8:$D$42))+1,""),ROW()-1500)),"")</f>
        <v>Home - PortCastelló</v>
      </c>
      <c r="C1516" s="114" t="str" cm="1">
        <f t="array" ref="C1516">IFERROR(INDEX('03.Muestra'!$F$8:$F$42,SMALL(IF("Página Web"='03.Muestra'!$D$8:$D$42,ROW('03.Muestra'!$F$8:$F$42)-MIN(ROW('03.Muestra'!$D$8:$D$42))+1,""),ROW()-1500)),"")</f>
        <v>https://www.portcastello.com/</v>
      </c>
      <c r="D1516" s="130" t="s">
        <v>37</v>
      </c>
      <c r="E1516" s="107" t="str">
        <f t="shared" si="78"/>
        <v/>
      </c>
      <c r="F1516" s="19"/>
      <c r="G1516" s="19"/>
      <c r="H1516" s="19"/>
      <c r="I1516" s="19"/>
      <c r="J1516" s="19"/>
      <c r="K1516" s="233"/>
      <c r="L1516" s="19"/>
    </row>
    <row r="1517" spans="1:12" ht="12" customHeight="1">
      <c r="A1517" s="219" t="n" cm="1">
        <f t="array" ref="A1517">IFERROR(INDEX('03.Muestra'!$B$8:$B$42,SMALL(IF("Página Web"='03.Muestra'!$D$8:$D$42,ROW('03.Muestra'!$B$8:$B$42)-MIN(ROW('03.Muestra'!$D$8:$D$42))+1,""),ROW()-1500)),"")</f>
        <v>1.0</v>
      </c>
      <c r="B1517" s="114" t="str" cm="1">
        <f t="array" ref="B1517">IFERROR(INDEX('03.Muestra'!$C$8:$C$42,SMALL(IF("Página Web"='03.Muestra'!$D$8:$D$42,ROW('03.Muestra'!$C$8:$C$42)-MIN(ROW('03.Muestra'!$D$8:$D$42))+1,""),ROW()-1500)),"")</f>
        <v>Home - PortCastelló</v>
      </c>
      <c r="C1517" s="114" t="str" cm="1">
        <f t="array" ref="C1517">IFERROR(INDEX('03.Muestra'!$F$8:$F$42,SMALL(IF("Página Web"='03.Muestra'!$D$8:$D$42,ROW('03.Muestra'!$F$8:$F$42)-MIN(ROW('03.Muestra'!$D$8:$D$42))+1,""),ROW()-1500)),"")</f>
        <v>https://www.portcastello.com/</v>
      </c>
      <c r="D1517" s="130" t="s">
        <v>37</v>
      </c>
      <c r="E1517" s="107" t="str">
        <f t="shared" si="78"/>
        <v/>
      </c>
      <c r="F1517" s="19"/>
      <c r="G1517" s="19"/>
      <c r="H1517" s="19"/>
      <c r="I1517" s="19"/>
      <c r="J1517" s="19"/>
      <c r="K1517" s="233"/>
      <c r="L1517" s="19"/>
    </row>
    <row r="1518" spans="1:12" ht="12" customHeight="1">
      <c r="A1518" s="219" t="n" cm="1">
        <f t="array" ref="A1518">IFERROR(INDEX('03.Muestra'!$B$8:$B$42,SMALL(IF("Página Web"='03.Muestra'!$D$8:$D$42,ROW('03.Muestra'!$B$8:$B$42)-MIN(ROW('03.Muestra'!$D$8:$D$42))+1,""),ROW()-1500)),"")</f>
        <v>1.0</v>
      </c>
      <c r="B1518" s="114" t="str" cm="1">
        <f t="array" ref="B1518">IFERROR(INDEX('03.Muestra'!$C$8:$C$42,SMALL(IF("Página Web"='03.Muestra'!$D$8:$D$42,ROW('03.Muestra'!$C$8:$C$42)-MIN(ROW('03.Muestra'!$D$8:$D$42))+1,""),ROW()-1500)),"")</f>
        <v>Home - PortCastelló</v>
      </c>
      <c r="C1518" s="114" t="str" cm="1">
        <f t="array" ref="C1518">IFERROR(INDEX('03.Muestra'!$F$8:$F$42,SMALL(IF("Página Web"='03.Muestra'!$D$8:$D$42,ROW('03.Muestra'!$F$8:$F$42)-MIN(ROW('03.Muestra'!$D$8:$D$42))+1,""),ROW()-1500)),"")</f>
        <v>https://www.portcastello.com/</v>
      </c>
      <c r="D1518" s="130" t="s">
        <v>37</v>
      </c>
      <c r="E1518" s="107" t="str">
        <f t="shared" si="78"/>
        <v/>
      </c>
      <c r="F1518" s="19"/>
      <c r="G1518" s="19"/>
      <c r="H1518" s="19"/>
      <c r="I1518" s="19"/>
      <c r="J1518" s="19"/>
      <c r="K1518" s="233"/>
      <c r="L1518" s="19"/>
    </row>
    <row r="1519" spans="1:12" ht="12" customHeight="1">
      <c r="A1519" s="219" t="n" cm="1">
        <f t="array" ref="A1519">IFERROR(INDEX('03.Muestra'!$B$8:$B$42,SMALL(IF("Página Web"='03.Muestra'!$D$8:$D$42,ROW('03.Muestra'!$B$8:$B$42)-MIN(ROW('03.Muestra'!$D$8:$D$42))+1,""),ROW()-1500)),"")</f>
        <v>1.0</v>
      </c>
      <c r="B1519" s="114" t="str" cm="1">
        <f t="array" ref="B1519">IFERROR(INDEX('03.Muestra'!$C$8:$C$42,SMALL(IF("Página Web"='03.Muestra'!$D$8:$D$42,ROW('03.Muestra'!$C$8:$C$42)-MIN(ROW('03.Muestra'!$D$8:$D$42))+1,""),ROW()-1500)),"")</f>
        <v>Home - PortCastelló</v>
      </c>
      <c r="C1519" s="114" t="str" cm="1">
        <f t="array" ref="C1519">IFERROR(INDEX('03.Muestra'!$F$8:$F$42,SMALL(IF("Página Web"='03.Muestra'!$D$8:$D$42,ROW('03.Muestra'!$F$8:$F$42)-MIN(ROW('03.Muestra'!$D$8:$D$42))+1,""),ROW()-1500)),"")</f>
        <v>https://www.portcastello.com/</v>
      </c>
      <c r="D1519" s="130" t="s">
        <v>37</v>
      </c>
      <c r="E1519" s="107" t="str">
        <f t="shared" si="78"/>
        <v/>
      </c>
      <c r="F1519" s="19"/>
      <c r="G1519" s="19"/>
      <c r="H1519" s="19"/>
      <c r="I1519" s="19"/>
      <c r="J1519" s="19"/>
      <c r="K1519" s="233"/>
      <c r="L1519" s="19"/>
    </row>
    <row r="1520" spans="1:12" ht="12" customHeight="1">
      <c r="A1520" s="219" t="n" cm="1">
        <f t="array" ref="A1520">IFERROR(INDEX('03.Muestra'!$B$8:$B$42,SMALL(IF("Página Web"='03.Muestra'!$D$8:$D$42,ROW('03.Muestra'!$B$8:$B$42)-MIN(ROW('03.Muestra'!$D$8:$D$42))+1,""),ROW()-1500)),"")</f>
        <v>1.0</v>
      </c>
      <c r="B1520" s="114" t="str" cm="1">
        <f t="array" ref="B1520">IFERROR(INDEX('03.Muestra'!$C$8:$C$42,SMALL(IF("Página Web"='03.Muestra'!$D$8:$D$42,ROW('03.Muestra'!$C$8:$C$42)-MIN(ROW('03.Muestra'!$D$8:$D$42))+1,""),ROW()-1500)),"")</f>
        <v>Home - PortCastelló</v>
      </c>
      <c r="C1520" s="114" t="str" cm="1">
        <f t="array" ref="C1520">IFERROR(INDEX('03.Muestra'!$F$8:$F$42,SMALL(IF("Página Web"='03.Muestra'!$D$8:$D$42,ROW('03.Muestra'!$F$8:$F$42)-MIN(ROW('03.Muestra'!$D$8:$D$42))+1,""),ROW()-1500)),"")</f>
        <v>https://www.portcastello.com/</v>
      </c>
      <c r="D1520" s="130" t="s">
        <v>37</v>
      </c>
      <c r="E1520" s="107" t="str">
        <f t="shared" si="78"/>
        <v/>
      </c>
      <c r="F1520" s="19"/>
      <c r="G1520" s="19"/>
      <c r="H1520" s="19"/>
      <c r="I1520" s="19"/>
      <c r="J1520" s="19"/>
      <c r="K1520" s="233"/>
      <c r="L1520" s="19"/>
    </row>
    <row r="1521" spans="1:12" ht="12" customHeight="1">
      <c r="A1521" s="219" t="n" cm="1">
        <f t="array" ref="A1521">IFERROR(INDEX('03.Muestra'!$B$8:$B$42,SMALL(IF("Página Web"='03.Muestra'!$D$8:$D$42,ROW('03.Muestra'!$B$8:$B$42)-MIN(ROW('03.Muestra'!$D$8:$D$42))+1,""),ROW()-1500)),"")</f>
        <v>1.0</v>
      </c>
      <c r="B1521" s="114" t="str" cm="1">
        <f t="array" ref="B1521">IFERROR(INDEX('03.Muestra'!$C$8:$C$42,SMALL(IF("Página Web"='03.Muestra'!$D$8:$D$42,ROW('03.Muestra'!$C$8:$C$42)-MIN(ROW('03.Muestra'!$D$8:$D$42))+1,""),ROW()-1500)),"")</f>
        <v>Home - PortCastelló</v>
      </c>
      <c r="C1521" s="114" t="str" cm="1">
        <f t="array" ref="C1521">IFERROR(INDEX('03.Muestra'!$F$8:$F$42,SMALL(IF("Página Web"='03.Muestra'!$D$8:$D$42,ROW('03.Muestra'!$F$8:$F$42)-MIN(ROW('03.Muestra'!$D$8:$D$42))+1,""),ROW()-1500)),"")</f>
        <v>https://www.portcastello.com/</v>
      </c>
      <c r="D1521" s="130" t="s">
        <v>37</v>
      </c>
      <c r="E1521" s="107" t="str">
        <f t="shared" si="78"/>
        <v/>
      </c>
      <c r="F1521" s="19"/>
      <c r="G1521" s="19"/>
      <c r="H1521" s="19"/>
      <c r="I1521" s="19"/>
      <c r="J1521" s="19"/>
      <c r="K1521" s="233"/>
      <c r="L1521" s="19"/>
    </row>
    <row r="1522" spans="1:12" ht="12" customHeight="1">
      <c r="A1522" s="219" t="n" cm="1">
        <f t="array" ref="A1522">IFERROR(INDEX('03.Muestra'!$B$8:$B$42,SMALL(IF("Página Web"='03.Muestra'!$D$8:$D$42,ROW('03.Muestra'!$B$8:$B$42)-MIN(ROW('03.Muestra'!$D$8:$D$42))+1,""),ROW()-1500)),"")</f>
        <v>1.0</v>
      </c>
      <c r="B1522" s="114" t="str" cm="1">
        <f t="array" ref="B1522">IFERROR(INDEX('03.Muestra'!$C$8:$C$42,SMALL(IF("Página Web"='03.Muestra'!$D$8:$D$42,ROW('03.Muestra'!$C$8:$C$42)-MIN(ROW('03.Muestra'!$D$8:$D$42))+1,""),ROW()-1500)),"")</f>
        <v>Home - PortCastelló</v>
      </c>
      <c r="C1522" s="114" t="str" cm="1">
        <f t="array" ref="C1522">IFERROR(INDEX('03.Muestra'!$F$8:$F$42,SMALL(IF("Página Web"='03.Muestra'!$D$8:$D$42,ROW('03.Muestra'!$F$8:$F$42)-MIN(ROW('03.Muestra'!$D$8:$D$42))+1,""),ROW()-1500)),"")</f>
        <v>https://www.portcastello.com/</v>
      </c>
      <c r="D1522" s="130" t="s">
        <v>37</v>
      </c>
      <c r="E1522" s="107" t="str">
        <f t="shared" si="78"/>
        <v/>
      </c>
      <c r="F1522" s="19"/>
      <c r="G1522" s="19"/>
      <c r="H1522" s="19"/>
      <c r="I1522" s="19"/>
      <c r="J1522" s="19"/>
      <c r="K1522" s="233"/>
      <c r="L1522" s="19"/>
    </row>
    <row r="1523" spans="1:12" ht="12" customHeight="1">
      <c r="A1523" s="219" t="n" cm="1">
        <f t="array" ref="A1523">IFERROR(INDEX('03.Muestra'!$B$8:$B$42,SMALL(IF("Página Web"='03.Muestra'!$D$8:$D$42,ROW('03.Muestra'!$B$8:$B$42)-MIN(ROW('03.Muestra'!$D$8:$D$42))+1,""),ROW()-1500)),"")</f>
        <v>1.0</v>
      </c>
      <c r="B1523" s="114" t="str" cm="1">
        <f t="array" ref="B1523">IFERROR(INDEX('03.Muestra'!$C$8:$C$42,SMALL(IF("Página Web"='03.Muestra'!$D$8:$D$42,ROW('03.Muestra'!$C$8:$C$42)-MIN(ROW('03.Muestra'!$D$8:$D$42))+1,""),ROW()-1500)),"")</f>
        <v>Home - PortCastelló</v>
      </c>
      <c r="C1523" s="114" t="str" cm="1">
        <f t="array" ref="C1523">IFERROR(INDEX('03.Muestra'!$F$8:$F$42,SMALL(IF("Página Web"='03.Muestra'!$D$8:$D$42,ROW('03.Muestra'!$F$8:$F$42)-MIN(ROW('03.Muestra'!$D$8:$D$42))+1,""),ROW()-1500)),"")</f>
        <v>https://www.portcastello.com/</v>
      </c>
      <c r="D1523" s="130" t="s">
        <v>37</v>
      </c>
      <c r="E1523" s="107" t="str">
        <f t="shared" si="78"/>
        <v/>
      </c>
      <c r="F1523" s="19"/>
      <c r="G1523" s="19"/>
      <c r="H1523" s="19"/>
      <c r="I1523" s="19"/>
      <c r="J1523" s="19"/>
      <c r="K1523" s="233"/>
      <c r="L1523" s="19"/>
    </row>
    <row r="1524" spans="1:12" ht="12" customHeight="1">
      <c r="A1524" s="219" t="n" cm="1">
        <f t="array" ref="A1524">IFERROR(INDEX('03.Muestra'!$B$8:$B$42,SMALL(IF("Página Web"='03.Muestra'!$D$8:$D$42,ROW('03.Muestra'!$B$8:$B$42)-MIN(ROW('03.Muestra'!$D$8:$D$42))+1,""),ROW()-1500)),"")</f>
        <v>1.0</v>
      </c>
      <c r="B1524" s="114" t="str" cm="1">
        <f t="array" ref="B1524">IFERROR(INDEX('03.Muestra'!$C$8:$C$42,SMALL(IF("Página Web"='03.Muestra'!$D$8:$D$42,ROW('03.Muestra'!$C$8:$C$42)-MIN(ROW('03.Muestra'!$D$8:$D$42))+1,""),ROW()-1500)),"")</f>
        <v>Home - PortCastelló</v>
      </c>
      <c r="C1524" s="114" t="str" cm="1">
        <f t="array" ref="C1524">IFERROR(INDEX('03.Muestra'!$F$8:$F$42,SMALL(IF("Página Web"='03.Muestra'!$D$8:$D$42,ROW('03.Muestra'!$F$8:$F$42)-MIN(ROW('03.Muestra'!$D$8:$D$42))+1,""),ROW()-1500)),"")</f>
        <v>https://www.portcastello.com/</v>
      </c>
      <c r="D1524" s="130" t="s">
        <v>37</v>
      </c>
      <c r="E1524" s="107" t="str">
        <f t="shared" si="78"/>
        <v/>
      </c>
      <c r="F1524" s="19"/>
      <c r="G1524" s="19"/>
      <c r="H1524" s="19"/>
      <c r="I1524" s="19"/>
      <c r="J1524" s="19"/>
      <c r="K1524" s="233"/>
      <c r="L1524" s="19"/>
    </row>
    <row r="1525" spans="1:12" ht="12" customHeight="1">
      <c r="A1525" s="219" t="n" cm="1">
        <f t="array" ref="A1525">IFERROR(INDEX('03.Muestra'!$B$8:$B$42,SMALL(IF("Página Web"='03.Muestra'!$D$8:$D$42,ROW('03.Muestra'!$B$8:$B$42)-MIN(ROW('03.Muestra'!$D$8:$D$42))+1,""),ROW()-1500)),"")</f>
        <v>1.0</v>
      </c>
      <c r="B1525" s="114" t="str" cm="1">
        <f t="array" ref="B1525">IFERROR(INDEX('03.Muestra'!$C$8:$C$42,SMALL(IF("Página Web"='03.Muestra'!$D$8:$D$42,ROW('03.Muestra'!$C$8:$C$42)-MIN(ROW('03.Muestra'!$D$8:$D$42))+1,""),ROW()-1500)),"")</f>
        <v>Home - PortCastelló</v>
      </c>
      <c r="C1525" s="114" t="str" cm="1">
        <f t="array" ref="C1525">IFERROR(INDEX('03.Muestra'!$F$8:$F$42,SMALL(IF("Página Web"='03.Muestra'!$D$8:$D$42,ROW('03.Muestra'!$F$8:$F$42)-MIN(ROW('03.Muestra'!$D$8:$D$42))+1,""),ROW()-1500)),"")</f>
        <v>https://www.portcastello.com/</v>
      </c>
      <c r="D1525" s="130" t="s">
        <v>37</v>
      </c>
      <c r="E1525" s="107" t="str">
        <f t="shared" si="78"/>
        <v/>
      </c>
      <c r="F1525" s="19"/>
      <c r="G1525" s="19"/>
      <c r="H1525" s="19"/>
      <c r="I1525" s="19"/>
      <c r="J1525" s="19"/>
      <c r="K1525" s="233"/>
      <c r="L1525" s="19"/>
    </row>
    <row r="1526" spans="1:12" ht="12" customHeight="1">
      <c r="A1526" s="219" t="n" cm="1">
        <f t="array" ref="A1526">IFERROR(INDEX('03.Muestra'!$B$8:$B$42,SMALL(IF("Página Web"='03.Muestra'!$D$8:$D$42,ROW('03.Muestra'!$B$8:$B$42)-MIN(ROW('03.Muestra'!$D$8:$D$42))+1,""),ROW()-1500)),"")</f>
        <v>1.0</v>
      </c>
      <c r="B1526" s="114" t="str" cm="1">
        <f t="array" ref="B1526">IFERROR(INDEX('03.Muestra'!$C$8:$C$42,SMALL(IF("Página Web"='03.Muestra'!$D$8:$D$42,ROW('03.Muestra'!$C$8:$C$42)-MIN(ROW('03.Muestra'!$D$8:$D$42))+1,""),ROW()-1500)),"")</f>
        <v>Home - PortCastelló</v>
      </c>
      <c r="C1526" s="114" t="str" cm="1">
        <f t="array" ref="C1526">IFERROR(INDEX('03.Muestra'!$F$8:$F$42,SMALL(IF("Página Web"='03.Muestra'!$D$8:$D$42,ROW('03.Muestra'!$F$8:$F$42)-MIN(ROW('03.Muestra'!$D$8:$D$42))+1,""),ROW()-1500)),"")</f>
        <v>https://www.portcastello.com/</v>
      </c>
      <c r="D1526" s="130" t="s">
        <v>37</v>
      </c>
      <c r="E1526" s="107" t="str">
        <f t="shared" si="78"/>
        <v/>
      </c>
      <c r="F1526" s="19"/>
      <c r="G1526" s="19"/>
      <c r="H1526" s="19"/>
      <c r="I1526" s="19"/>
      <c r="J1526" s="19"/>
      <c r="K1526" s="233"/>
      <c r="L1526" s="19"/>
    </row>
    <row r="1527" spans="1:12" ht="12" customHeight="1">
      <c r="A1527" s="219" t="n" cm="1">
        <f t="array" ref="A1527">IFERROR(INDEX('03.Muestra'!$B$8:$B$42,SMALL(IF("Página Web"='03.Muestra'!$D$8:$D$42,ROW('03.Muestra'!$B$8:$B$42)-MIN(ROW('03.Muestra'!$D$8:$D$42))+1,""),ROW()-1500)),"")</f>
        <v>1.0</v>
      </c>
      <c r="B1527" s="114" t="str" cm="1">
        <f t="array" ref="B1527">IFERROR(INDEX('03.Muestra'!$C$8:$C$42,SMALL(IF("Página Web"='03.Muestra'!$D$8:$D$42,ROW('03.Muestra'!$C$8:$C$42)-MIN(ROW('03.Muestra'!$D$8:$D$42))+1,""),ROW()-1500)),"")</f>
        <v>Home - PortCastelló</v>
      </c>
      <c r="C1527" s="114" t="str" cm="1">
        <f t="array" ref="C1527">IFERROR(INDEX('03.Muestra'!$F$8:$F$42,SMALL(IF("Página Web"='03.Muestra'!$D$8:$D$42,ROW('03.Muestra'!$F$8:$F$42)-MIN(ROW('03.Muestra'!$D$8:$D$42))+1,""),ROW()-1500)),"")</f>
        <v>https://www.portcastello.com/</v>
      </c>
      <c r="D1527" s="130" t="s">
        <v>37</v>
      </c>
      <c r="E1527" s="107" t="str">
        <f t="shared" si="78"/>
        <v/>
      </c>
      <c r="F1527" s="19"/>
      <c r="G1527" s="19"/>
      <c r="H1527" s="19"/>
      <c r="I1527" s="19"/>
      <c r="J1527" s="19"/>
      <c r="K1527" s="233"/>
      <c r="L1527" s="19"/>
    </row>
    <row r="1528" spans="1:12" ht="12" customHeight="1">
      <c r="A1528" s="219" t="n" cm="1">
        <f t="array" ref="A1528">IFERROR(INDEX('03.Muestra'!$B$8:$B$42,SMALL(IF("Página Web"='03.Muestra'!$D$8:$D$42,ROW('03.Muestra'!$B$8:$B$42)-MIN(ROW('03.Muestra'!$D$8:$D$42))+1,""),ROW()-1500)),"")</f>
        <v>1.0</v>
      </c>
      <c r="B1528" s="114" t="str" cm="1">
        <f t="array" ref="B1528">IFERROR(INDEX('03.Muestra'!$C$8:$C$42,SMALL(IF("Página Web"='03.Muestra'!$D$8:$D$42,ROW('03.Muestra'!$C$8:$C$42)-MIN(ROW('03.Muestra'!$D$8:$D$42))+1,""),ROW()-1500)),"")</f>
        <v>Home - PortCastelló</v>
      </c>
      <c r="C1528" s="114" t="str" cm="1">
        <f t="array" ref="C1528">IFERROR(INDEX('03.Muestra'!$F$8:$F$42,SMALL(IF("Página Web"='03.Muestra'!$D$8:$D$42,ROW('03.Muestra'!$F$8:$F$42)-MIN(ROW('03.Muestra'!$D$8:$D$42))+1,""),ROW()-1500)),"")</f>
        <v>https://www.portcastello.com/</v>
      </c>
      <c r="D1528" s="130" t="s">
        <v>37</v>
      </c>
      <c r="E1528" s="107" t="str">
        <f t="shared" si="78"/>
        <v/>
      </c>
      <c r="G1528" s="19"/>
      <c r="H1528" s="19"/>
      <c r="I1528" s="19"/>
      <c r="J1528" s="19"/>
      <c r="K1528" s="233"/>
      <c r="L1528" s="19"/>
    </row>
    <row r="1529" spans="1:12" ht="12" customHeight="1">
      <c r="A1529" s="219" t="n" cm="1">
        <f t="array" ref="A1529">IFERROR(INDEX('03.Muestra'!$B$8:$B$42,SMALL(IF("Página Web"='03.Muestra'!$D$8:$D$42,ROW('03.Muestra'!$B$8:$B$42)-MIN(ROW('03.Muestra'!$D$8:$D$42))+1,""),ROW()-1500)),"")</f>
        <v>1.0</v>
      </c>
      <c r="B1529" s="114" t="str" cm="1">
        <f t="array" ref="B1529">IFERROR(INDEX('03.Muestra'!$C$8:$C$42,SMALL(IF("Página Web"='03.Muestra'!$D$8:$D$42,ROW('03.Muestra'!$C$8:$C$42)-MIN(ROW('03.Muestra'!$D$8:$D$42))+1,""),ROW()-1500)),"")</f>
        <v>Home - PortCastelló</v>
      </c>
      <c r="C1529" s="114" t="str" cm="1">
        <f t="array" ref="C1529">IFERROR(INDEX('03.Muestra'!$F$8:$F$42,SMALL(IF("Página Web"='03.Muestra'!$D$8:$D$42,ROW('03.Muestra'!$F$8:$F$42)-MIN(ROW('03.Muestra'!$D$8:$D$42))+1,""),ROW()-1500)),"")</f>
        <v>https://www.portcastello.com/</v>
      </c>
      <c r="D1529" s="130" t="s">
        <v>37</v>
      </c>
      <c r="E1529" s="107" t="str">
        <f t="shared" si="78"/>
        <v/>
      </c>
      <c r="F1529" s="124"/>
      <c r="G1529" s="19"/>
      <c r="H1529" s="19"/>
      <c r="I1529" s="19"/>
      <c r="J1529" s="19"/>
      <c r="K1529" s="233"/>
      <c r="L1529" s="19"/>
    </row>
    <row r="1530" spans="1:12" ht="12" customHeight="1">
      <c r="A1530" s="219" t="n" cm="1">
        <f t="array" ref="A1530">IFERROR(INDEX('03.Muestra'!$B$8:$B$42,SMALL(IF("Página Web"='03.Muestra'!$D$8:$D$42,ROW('03.Muestra'!$B$8:$B$42)-MIN(ROW('03.Muestra'!$D$8:$D$42))+1,""),ROW()-1500)),"")</f>
        <v>1.0</v>
      </c>
      <c r="B1530" s="114" t="str" cm="1">
        <f t="array" ref="B1530">IFERROR(INDEX('03.Muestra'!$C$8:$C$42,SMALL(IF("Página Web"='03.Muestra'!$D$8:$D$42,ROW('03.Muestra'!$C$8:$C$42)-MIN(ROW('03.Muestra'!$D$8:$D$42))+1,""),ROW()-1500)),"")</f>
        <v>Home - PortCastelló</v>
      </c>
      <c r="C1530" s="114" t="str" cm="1">
        <f t="array" ref="C1530">IFERROR(INDEX('03.Muestra'!$F$8:$F$42,SMALL(IF("Página Web"='03.Muestra'!$D$8:$D$42,ROW('03.Muestra'!$F$8:$F$42)-MIN(ROW('03.Muestra'!$D$8:$D$42))+1,""),ROW()-1500)),"")</f>
        <v>https://www.portcastello.com/</v>
      </c>
      <c r="D1530" s="130" t="s">
        <v>37</v>
      </c>
      <c r="E1530" s="107" t="str">
        <f t="shared" si="78"/>
        <v/>
      </c>
      <c r="F1530" s="124"/>
      <c r="G1530" s="19"/>
      <c r="H1530" s="19"/>
      <c r="I1530" s="19"/>
      <c r="J1530" s="19"/>
      <c r="K1530" s="233"/>
      <c r="L1530" s="19"/>
    </row>
    <row r="1531" spans="1:12" ht="12" customHeight="1">
      <c r="A1531" s="219" t="n" cm="1">
        <f t="array" ref="A1531">IFERROR(INDEX('03.Muestra'!$B$8:$B$42,SMALL(IF("Página Web"='03.Muestra'!$D$8:$D$42,ROW('03.Muestra'!$B$8:$B$42)-MIN(ROW('03.Muestra'!$D$8:$D$42))+1,""),ROW()-1500)),"")</f>
        <v>1.0</v>
      </c>
      <c r="B1531" s="114" t="str" cm="1">
        <f t="array" ref="B1531">IFERROR(INDEX('03.Muestra'!$C$8:$C$42,SMALL(IF("Página Web"='03.Muestra'!$D$8:$D$42,ROW('03.Muestra'!$C$8:$C$42)-MIN(ROW('03.Muestra'!$D$8:$D$42))+1,""),ROW()-1500)),"")</f>
        <v>Home - PortCastelló</v>
      </c>
      <c r="C1531" s="114" t="str" cm="1">
        <f t="array" ref="C1531">IFERROR(INDEX('03.Muestra'!$F$8:$F$42,SMALL(IF("Página Web"='03.Muestra'!$D$8:$D$42,ROW('03.Muestra'!$F$8:$F$42)-MIN(ROW('03.Muestra'!$D$8:$D$42))+1,""),ROW()-1500)),"")</f>
        <v>https://www.portcastello.com/</v>
      </c>
      <c r="D1531" s="130" t="s">
        <v>37</v>
      </c>
      <c r="E1531" s="107" t="str">
        <f t="shared" si="78"/>
        <v/>
      </c>
      <c r="F1531" s="124"/>
      <c r="G1531" s="19"/>
      <c r="H1531" s="19"/>
      <c r="I1531" s="19"/>
      <c r="J1531" s="19"/>
      <c r="K1531" s="233"/>
      <c r="L1531" s="19"/>
    </row>
    <row r="1532" spans="1:12" ht="12" customHeight="1">
      <c r="A1532" s="219" t="n" cm="1">
        <f t="array" ref="A1532">IFERROR(INDEX('03.Muestra'!$B$8:$B$42,SMALL(IF("Página Web"='03.Muestra'!$D$8:$D$42,ROW('03.Muestra'!$B$8:$B$42)-MIN(ROW('03.Muestra'!$D$8:$D$42))+1,""),ROW()-1500)),"")</f>
        <v>1.0</v>
      </c>
      <c r="B1532" s="114" t="str" cm="1">
        <f t="array" ref="B1532">IFERROR(INDEX('03.Muestra'!$C$8:$C$42,SMALL(IF("Página Web"='03.Muestra'!$D$8:$D$42,ROW('03.Muestra'!$C$8:$C$42)-MIN(ROW('03.Muestra'!$D$8:$D$42))+1,""),ROW()-1500)),"")</f>
        <v>Home - PortCastelló</v>
      </c>
      <c r="C1532" s="114" t="str" cm="1">
        <f t="array" ref="C1532">IFERROR(INDEX('03.Muestra'!$F$8:$F$42,SMALL(IF("Página Web"='03.Muestra'!$D$8:$D$42,ROW('03.Muestra'!$F$8:$F$42)-MIN(ROW('03.Muestra'!$D$8:$D$42))+1,""),ROW()-1500)),"")</f>
        <v>https://www.portcastello.com/</v>
      </c>
      <c r="D1532" s="130" t="s">
        <v>37</v>
      </c>
      <c r="E1532" s="107" t="str">
        <f t="shared" si="78"/>
        <v/>
      </c>
      <c r="F1532" s="124"/>
      <c r="G1532" s="19"/>
      <c r="H1532" s="19"/>
      <c r="I1532" s="19"/>
      <c r="J1532" s="19"/>
      <c r="K1532" s="233"/>
      <c r="L1532" s="19"/>
    </row>
    <row r="1533" spans="1:12" ht="12" customHeight="1">
      <c r="A1533" s="219" t="n" cm="1">
        <f t="array" ref="A1533">IFERROR(INDEX('03.Muestra'!$B$8:$B$42,SMALL(IF("Página Web"='03.Muestra'!$D$8:$D$42,ROW('03.Muestra'!$B$8:$B$42)-MIN(ROW('03.Muestra'!$D$8:$D$42))+1,""),ROW()-1500)),"")</f>
        <v>1.0</v>
      </c>
      <c r="B1533" s="114" t="str" cm="1">
        <f t="array" ref="B1533">IFERROR(INDEX('03.Muestra'!$C$8:$C$42,SMALL(IF("Página Web"='03.Muestra'!$D$8:$D$42,ROW('03.Muestra'!$C$8:$C$42)-MIN(ROW('03.Muestra'!$D$8:$D$42))+1,""),ROW()-1500)),"")</f>
        <v>Home - PortCastelló</v>
      </c>
      <c r="C1533" s="114" t="str" cm="1">
        <f t="array" ref="C1533">IFERROR(INDEX('03.Muestra'!$F$8:$F$42,SMALL(IF("Página Web"='03.Muestra'!$D$8:$D$42,ROW('03.Muestra'!$F$8:$F$42)-MIN(ROW('03.Muestra'!$D$8:$D$42))+1,""),ROW()-1500)),"")</f>
        <v>https://www.portcastello.com/</v>
      </c>
      <c r="D1533" s="130" t="s">
        <v>37</v>
      </c>
      <c r="E1533" s="107" t="str">
        <f t="shared" si="78"/>
        <v/>
      </c>
      <c r="F1533" s="124"/>
      <c r="G1533" s="19"/>
      <c r="H1533" s="19"/>
      <c r="I1533" s="19"/>
      <c r="J1533" s="19"/>
      <c r="K1533" s="233"/>
      <c r="L1533" s="19"/>
    </row>
    <row r="1534" spans="1:12" ht="12" customHeight="1">
      <c r="A1534" s="219" t="str" cm="1">
        <f t="array" ref="A1534">IFERROR(INDEX('03.Muestra'!$B$8:$B$42,SMALL(IF("Página Web"='03.Muestra'!$D$8:$D$42,ROW('03.Muestra'!$B$8:$B$42)-MIN(ROW('03.Muestra'!$D$8:$D$42))+1,""),ROW()-1500)),"")</f>
        <v/>
      </c>
      <c r="B1534" s="114" t="str" cm="1">
        <f t="array" ref="B1534">IFERROR(INDEX('03.Muestra'!$C$8:$C$42,SMALL(IF("Página Web"='03.Muestra'!$D$8:$D$42,ROW('03.Muestra'!$C$8:$C$42)-MIN(ROW('03.Muestra'!$D$8:$D$42))+1,""),ROW()-1500)),"")</f>
        <v/>
      </c>
      <c r="C1534" s="114" t="str" cm="1">
        <f t="array" ref="C1534">IFERROR(INDEX('03.Muestra'!$F$8:$F$42,SMALL(IF("Página Web"='03.Muestra'!$D$8:$D$42,ROW('03.Muestra'!$F$8:$F$42)-MIN(ROW('03.Muestra'!$D$8:$D$42))+1,""),ROW()-1500)),"")</f>
        <v/>
      </c>
      <c r="D1534" s="130" t="str">
        <f t="shared" si="79" ref="D1534:D1535">IF(AND(B1534&lt;&gt;"",C1534&lt;&gt;""),"N/T","")</f>
        <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268</v>
      </c>
      <c r="B1538" s="24" t="s">
        <v>90</v>
      </c>
      <c r="C1538" s="25" t="s">
        <v>413</v>
      </c>
      <c r="D1538" s="26" t="s">
        <v>32</v>
      </c>
      <c r="E1538" s="123"/>
      <c r="K1538" s="233"/>
      <c r="L1538" s="19"/>
    </row>
    <row r="1539" spans="1:12" ht="12" customHeight="1">
      <c r="A1539" s="219" t="n" cm="1">
        <f t="array" ref="A1539">IFERROR(INDEX('03.Muestra'!$B$8:$B$42,SMALL(IF("Página Web"='03.Muestra'!$D$8:$D$42,ROW('03.Muestra'!$B$8:$B$42)-MIN(ROW('03.Muestra'!$D$8:$D$42))+1,""),ROW()-1538)),"")</f>
        <v>1.0</v>
      </c>
      <c r="B1539" s="114" t="str" cm="1">
        <f t="array" ref="B1539">IFERROR(INDEX('03.Muestra'!$C$8:$C$42,SMALL(IF("Página Web"='03.Muestra'!$D$8:$D$42,ROW('03.Muestra'!$C$8:$C$42)-MIN(ROW('03.Muestra'!$D$8:$D$42))+1,""),ROW()-1538)),"")</f>
        <v>Home - PortCastelló</v>
      </c>
      <c r="C1539" s="114" t="str" cm="1">
        <f t="array" ref="C1539">IFERROR(INDEX('03.Muestra'!$F$8:$F$42,SMALL(IF("Página Web"='03.Muestra'!$D$8:$D$42,ROW('03.Muestra'!$F$8:$F$42)-MIN(ROW('03.Muestra'!$D$8:$D$42))+1,""),ROW()-1538)),"")</f>
        <v>https://www.portcastello.com/</v>
      </c>
      <c r="D1539" s="130" t="s">
        <v>37</v>
      </c>
      <c r="E1539" s="107" t="str">
        <f t="shared" ref="E1539:E1573" si="80">IF(D1539&lt;&gt;"",IF(AND(B1539&lt;&gt;"",C1539&lt;&gt;""),"","ERR"),"")</f>
        <v/>
      </c>
      <c r="F1539" s="115" t="s">
        <v>33</v>
      </c>
      <c r="G1539" s="116" t="s">
        <v>37</v>
      </c>
      <c r="H1539" s="117" t="s">
        <v>35</v>
      </c>
      <c r="I1539" s="118" t="s">
        <v>28</v>
      </c>
      <c r="J1539" s="119" t="s">
        <v>26</v>
      </c>
      <c r="K1539" s="226" t="s">
        <v>474</v>
      </c>
      <c r="L1539" s="19"/>
    </row>
    <row r="1540" spans="1:12" ht="12" customHeight="1">
      <c r="A1540" s="219" t="n" cm="1">
        <f t="array" ref="A1540">IFERROR(INDEX('03.Muestra'!$B$8:$B$42,SMALL(IF("Página Web"='03.Muestra'!$D$8:$D$42,ROW('03.Muestra'!$B$8:$B$42)-MIN(ROW('03.Muestra'!$D$8:$D$42))+1,""),ROW()-1538)),"")</f>
        <v>1.0</v>
      </c>
      <c r="B1540" s="114" t="str" cm="1">
        <f t="array" ref="B1540">IFERROR(INDEX('03.Muestra'!$C$8:$C$42,SMALL(IF("Página Web"='03.Muestra'!$D$8:$D$42,ROW('03.Muestra'!$C$8:$C$42)-MIN(ROW('03.Muestra'!$D$8:$D$42))+1,""),ROW()-1538)),"")</f>
        <v>Home - PortCastelló</v>
      </c>
      <c r="C1540" s="114" t="str" cm="1">
        <f t="array" ref="C1540">IFERROR(INDEX('03.Muestra'!$F$8:$F$42,SMALL(IF("Página Web"='03.Muestra'!$D$8:$D$42,ROW('03.Muestra'!$F$8:$F$42)-MIN(ROW('03.Muestra'!$D$8:$D$42))+1,""),ROW()-1538)),"")</f>
        <v>https://www.portcastello.com/</v>
      </c>
      <c r="D1540" s="130" t="s">
        <v>37</v>
      </c>
      <c r="E1540" s="107" t="str">
        <f t="shared" si="80"/>
        <v/>
      </c>
      <c r="F1540" s="120" t="n">
        <f ca="1">COUNTIF($D1539:INDIRECT("$D" &amp;  SUM(ROW()-1,'03.Muestra'!$D$45)-1),F1539)</f>
        <v>0.0</v>
      </c>
      <c r="G1540" s="120" t="n">
        <f ca="1">COUNTIF($D1539:INDIRECT("$D" &amp;  SUM(ROW()-1,'03.Muestra'!$D$45)-1),G1539)</f>
        <v>33.0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IF(COUNTIF('03.Muestra'!$D$8:$D$42,"Página Web")=0,0,COUNTBLANK($D1539:INDIRECT("$D" &amp;  SUM(ROW()-1,COUNTIF('03.Muestra'!$D$8:$D$42,"Página Web"))-1)))</f>
        <v>0.0</v>
      </c>
    </row>
    <row r="1541" spans="1:12" ht="12" customHeight="1">
      <c r="A1541" s="219" t="n" cm="1">
        <f t="array" ref="A1541">IFERROR(INDEX('03.Muestra'!$B$8:$B$42,SMALL(IF("Página Web"='03.Muestra'!$D$8:$D$42,ROW('03.Muestra'!$B$8:$B$42)-MIN(ROW('03.Muestra'!$D$8:$D$42))+1,""),ROW()-1538)),"")</f>
        <v>1.0</v>
      </c>
      <c r="B1541" s="114" t="str" cm="1">
        <f t="array" ref="B1541">IFERROR(INDEX('03.Muestra'!$C$8:$C$42,SMALL(IF("Página Web"='03.Muestra'!$D$8:$D$42,ROW('03.Muestra'!$C$8:$C$42)-MIN(ROW('03.Muestra'!$D$8:$D$42))+1,""),ROW()-1538)),"")</f>
        <v>Home - PortCastelló</v>
      </c>
      <c r="C1541" s="114" t="str" cm="1">
        <f t="array" ref="C1541">IFERROR(INDEX('03.Muestra'!$F$8:$F$42,SMALL(IF("Página Web"='03.Muestra'!$D$8:$D$42,ROW('03.Muestra'!$F$8:$F$42)-MIN(ROW('03.Muestra'!$D$8:$D$42))+1,""),ROW()-1538)),"")</f>
        <v>https://www.portcastello.com/</v>
      </c>
      <c r="D1541" s="130" t="s">
        <v>37</v>
      </c>
      <c r="E1541" s="107" t="str">
        <f t="shared" si="80"/>
        <v/>
      </c>
      <c r="G1541" s="19"/>
      <c r="H1541" s="19"/>
      <c r="I1541" s="19"/>
      <c r="J1541" s="19"/>
      <c r="K1541" s="233"/>
    </row>
    <row r="1542" spans="1:12" ht="12" customHeight="1">
      <c r="A1542" s="219" t="n" cm="1">
        <f t="array" ref="A1542">IFERROR(INDEX('03.Muestra'!$B$8:$B$42,SMALL(IF("Página Web"='03.Muestra'!$D$8:$D$42,ROW('03.Muestra'!$B$8:$B$42)-MIN(ROW('03.Muestra'!$D$8:$D$42))+1,""),ROW()-1538)),"")</f>
        <v>1.0</v>
      </c>
      <c r="B1542" s="114" t="str" cm="1">
        <f t="array" ref="B1542">IFERROR(INDEX('03.Muestra'!$C$8:$C$42,SMALL(IF("Página Web"='03.Muestra'!$D$8:$D$42,ROW('03.Muestra'!$C$8:$C$42)-MIN(ROW('03.Muestra'!$D$8:$D$42))+1,""),ROW()-1538)),"")</f>
        <v>Home - PortCastelló</v>
      </c>
      <c r="C1542" s="114" t="str" cm="1">
        <f t="array" ref="C1542">IFERROR(INDEX('03.Muestra'!$F$8:$F$42,SMALL(IF("Página Web"='03.Muestra'!$D$8:$D$42,ROW('03.Muestra'!$F$8:$F$42)-MIN(ROW('03.Muestra'!$D$8:$D$42))+1,""),ROW()-1538)),"")</f>
        <v>https://www.portcastello.com/</v>
      </c>
      <c r="D1542" s="130" t="s">
        <v>37</v>
      </c>
      <c r="E1542" s="107" t="str">
        <f t="shared" si="80"/>
        <v/>
      </c>
      <c r="G1542" s="19"/>
      <c r="H1542" s="19"/>
      <c r="I1542" s="19"/>
      <c r="J1542" s="19"/>
      <c r="K1542" s="233"/>
    </row>
    <row r="1543" spans="1:12" ht="12" customHeight="1">
      <c r="A1543" s="219" t="n" cm="1">
        <f t="array" ref="A1543">IFERROR(INDEX('03.Muestra'!$B$8:$B$42,SMALL(IF("Página Web"='03.Muestra'!$D$8:$D$42,ROW('03.Muestra'!$B$8:$B$42)-MIN(ROW('03.Muestra'!$D$8:$D$42))+1,""),ROW()-1538)),"")</f>
        <v>1.0</v>
      </c>
      <c r="B1543" s="114" t="str" cm="1">
        <f t="array" ref="B1543">IFERROR(INDEX('03.Muestra'!$C$8:$C$42,SMALL(IF("Página Web"='03.Muestra'!$D$8:$D$42,ROW('03.Muestra'!$C$8:$C$42)-MIN(ROW('03.Muestra'!$D$8:$D$42))+1,""),ROW()-1538)),"")</f>
        <v>Home - PortCastelló</v>
      </c>
      <c r="C1543" s="114" t="str" cm="1">
        <f t="array" ref="C1543">IFERROR(INDEX('03.Muestra'!$F$8:$F$42,SMALL(IF("Página Web"='03.Muestra'!$D$8:$D$42,ROW('03.Muestra'!$F$8:$F$42)-MIN(ROW('03.Muestra'!$D$8:$D$42))+1,""),ROW()-1538)),"")</f>
        <v>https://www.portcastello.com/</v>
      </c>
      <c r="D1543" s="130" t="s">
        <v>37</v>
      </c>
      <c r="E1543" s="107" t="str">
        <f t="shared" si="80"/>
        <v/>
      </c>
      <c r="G1543" s="19"/>
      <c r="H1543" s="19"/>
      <c r="I1543" s="19"/>
      <c r="J1543" s="19"/>
      <c r="K1543" s="233"/>
    </row>
    <row r="1544" spans="1:12" ht="12" customHeight="1">
      <c r="A1544" s="219" t="n" cm="1">
        <f t="array" ref="A1544">IFERROR(INDEX('03.Muestra'!$B$8:$B$42,SMALL(IF("Página Web"='03.Muestra'!$D$8:$D$42,ROW('03.Muestra'!$B$8:$B$42)-MIN(ROW('03.Muestra'!$D$8:$D$42))+1,""),ROW()-1538)),"")</f>
        <v>1.0</v>
      </c>
      <c r="B1544" s="114" t="str" cm="1">
        <f t="array" ref="B1544">IFERROR(INDEX('03.Muestra'!$C$8:$C$42,SMALL(IF("Página Web"='03.Muestra'!$D$8:$D$42,ROW('03.Muestra'!$C$8:$C$42)-MIN(ROW('03.Muestra'!$D$8:$D$42))+1,""),ROW()-1538)),"")</f>
        <v>Home - PortCastelló</v>
      </c>
      <c r="C1544" s="114" t="str" cm="1">
        <f t="array" ref="C1544">IFERROR(INDEX('03.Muestra'!$F$8:$F$42,SMALL(IF("Página Web"='03.Muestra'!$D$8:$D$42,ROW('03.Muestra'!$F$8:$F$42)-MIN(ROW('03.Muestra'!$D$8:$D$42))+1,""),ROW()-1538)),"")</f>
        <v>https://www.portcastello.com/</v>
      </c>
      <c r="D1544" s="130" t="s">
        <v>37</v>
      </c>
      <c r="E1544" s="107" t="str">
        <f t="shared" si="80"/>
        <v/>
      </c>
      <c r="G1544" s="19"/>
      <c r="H1544" s="19"/>
      <c r="I1544" s="19"/>
      <c r="J1544" s="19"/>
      <c r="K1544" s="233"/>
    </row>
    <row r="1545" spans="1:12" ht="12" customHeight="1">
      <c r="A1545" s="219" t="n" cm="1">
        <f t="array" ref="A1545">IFERROR(INDEX('03.Muestra'!$B$8:$B$42,SMALL(IF("Página Web"='03.Muestra'!$D$8:$D$42,ROW('03.Muestra'!$B$8:$B$42)-MIN(ROW('03.Muestra'!$D$8:$D$42))+1,""),ROW()-1538)),"")</f>
        <v>1.0</v>
      </c>
      <c r="B1545" s="114" t="str" cm="1">
        <f t="array" ref="B1545">IFERROR(INDEX('03.Muestra'!$C$8:$C$42,SMALL(IF("Página Web"='03.Muestra'!$D$8:$D$42,ROW('03.Muestra'!$C$8:$C$42)-MIN(ROW('03.Muestra'!$D$8:$D$42))+1,""),ROW()-1538)),"")</f>
        <v>Home - PortCastelló</v>
      </c>
      <c r="C1545" s="114" t="str" cm="1">
        <f t="array" ref="C1545">IFERROR(INDEX('03.Muestra'!$F$8:$F$42,SMALL(IF("Página Web"='03.Muestra'!$D$8:$D$42,ROW('03.Muestra'!$F$8:$F$42)-MIN(ROW('03.Muestra'!$D$8:$D$42))+1,""),ROW()-1538)),"")</f>
        <v>https://www.portcastello.com/</v>
      </c>
      <c r="D1545" s="130" t="s">
        <v>37</v>
      </c>
      <c r="E1545" s="107" t="str">
        <f t="shared" si="80"/>
        <v/>
      </c>
      <c r="F1545" s="19"/>
      <c r="G1545" s="19"/>
      <c r="H1545" s="19"/>
      <c r="I1545" s="19"/>
      <c r="J1545" s="19"/>
      <c r="K1545" s="233"/>
    </row>
    <row r="1546" spans="1:12" ht="12" customHeight="1">
      <c r="A1546" s="219" t="n" cm="1">
        <f t="array" ref="A1546">IFERROR(INDEX('03.Muestra'!$B$8:$B$42,SMALL(IF("Página Web"='03.Muestra'!$D$8:$D$42,ROW('03.Muestra'!$B$8:$B$42)-MIN(ROW('03.Muestra'!$D$8:$D$42))+1,""),ROW()-1538)),"")</f>
        <v>1.0</v>
      </c>
      <c r="B1546" s="114" t="str" cm="1">
        <f t="array" ref="B1546">IFERROR(INDEX('03.Muestra'!$C$8:$C$42,SMALL(IF("Página Web"='03.Muestra'!$D$8:$D$42,ROW('03.Muestra'!$C$8:$C$42)-MIN(ROW('03.Muestra'!$D$8:$D$42))+1,""),ROW()-1538)),"")</f>
        <v>Home - PortCastelló</v>
      </c>
      <c r="C1546" s="114" t="str" cm="1">
        <f t="array" ref="C1546">IFERROR(INDEX('03.Muestra'!$F$8:$F$42,SMALL(IF("Página Web"='03.Muestra'!$D$8:$D$42,ROW('03.Muestra'!$F$8:$F$42)-MIN(ROW('03.Muestra'!$D$8:$D$42))+1,""),ROW()-1538)),"")</f>
        <v>https://www.portcastello.com/</v>
      </c>
      <c r="D1546" s="130" t="s">
        <v>37</v>
      </c>
      <c r="E1546" s="107" t="str">
        <f t="shared" si="80"/>
        <v/>
      </c>
      <c r="F1546" s="19"/>
      <c r="G1546" s="19"/>
      <c r="H1546" s="19"/>
      <c r="I1546" s="19"/>
      <c r="J1546" s="19"/>
      <c r="K1546" s="233"/>
      <c r="L1546" s="19"/>
    </row>
    <row r="1547" spans="1:12" ht="12" customHeight="1">
      <c r="A1547" s="219" t="n" cm="1">
        <f t="array" ref="A1547">IFERROR(INDEX('03.Muestra'!$B$8:$B$42,SMALL(IF("Página Web"='03.Muestra'!$D$8:$D$42,ROW('03.Muestra'!$B$8:$B$42)-MIN(ROW('03.Muestra'!$D$8:$D$42))+1,""),ROW()-1538)),"")</f>
        <v>1.0</v>
      </c>
      <c r="B1547" s="114" t="str" cm="1">
        <f t="array" ref="B1547">IFERROR(INDEX('03.Muestra'!$C$8:$C$42,SMALL(IF("Página Web"='03.Muestra'!$D$8:$D$42,ROW('03.Muestra'!$C$8:$C$42)-MIN(ROW('03.Muestra'!$D$8:$D$42))+1,""),ROW()-1538)),"")</f>
        <v>Home - PortCastelló</v>
      </c>
      <c r="C1547" s="114" t="str" cm="1">
        <f t="array" ref="C1547">IFERROR(INDEX('03.Muestra'!$F$8:$F$42,SMALL(IF("Página Web"='03.Muestra'!$D$8:$D$42,ROW('03.Muestra'!$F$8:$F$42)-MIN(ROW('03.Muestra'!$D$8:$D$42))+1,""),ROW()-1538)),"")</f>
        <v>https://www.portcastello.com/</v>
      </c>
      <c r="D1547" s="130" t="s">
        <v>37</v>
      </c>
      <c r="E1547" s="107" t="str">
        <f t="shared" si="80"/>
        <v/>
      </c>
      <c r="F1547" s="19"/>
      <c r="G1547" s="19"/>
      <c r="H1547" s="19"/>
      <c r="I1547" s="19"/>
      <c r="J1547" s="19"/>
      <c r="K1547" s="233"/>
      <c r="L1547" s="19"/>
    </row>
    <row r="1548" spans="1:12" ht="12" customHeight="1">
      <c r="A1548" s="219" t="n"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Home - PortCastelló</v>
      </c>
      <c r="C1548" s="114" t="str" cm="1">
        <f t="array" ref="C1548">IFERROR(INDEX('03.Muestra'!$F$8:$F$42,SMALL(IF("Página Web"='03.Muestra'!$D$8:$D$42,ROW('03.Muestra'!$F$8:$F$42)-MIN(ROW('03.Muestra'!$D$8:$D$42))+1,""),ROW()-1538)),"")</f>
        <v>https://www.portcastello.com/</v>
      </c>
      <c r="D1548" s="130" t="s">
        <v>37</v>
      </c>
      <c r="E1548" s="107" t="str">
        <f t="shared" si="80"/>
        <v/>
      </c>
      <c r="F1548" s="19"/>
      <c r="G1548" s="19"/>
      <c r="H1548" s="19"/>
      <c r="I1548" s="19"/>
      <c r="J1548" s="19"/>
      <c r="K1548" s="233"/>
    </row>
    <row r="1549" spans="1:12" ht="12" customHeight="1">
      <c r="A1549" s="219" t="n" cm="1">
        <f t="array" ref="A1549">IFERROR(INDEX('03.Muestra'!$B$8:$B$42,SMALL(IF("Página Web"='03.Muestra'!$D$8:$D$42,ROW('03.Muestra'!$B$8:$B$42)-MIN(ROW('03.Muestra'!$D$8:$D$42))+1,""),ROW()-1538)),"")</f>
        <v>1.0</v>
      </c>
      <c r="B1549" s="114" t="str" cm="1">
        <f t="array" ref="B1549">IFERROR(INDEX('03.Muestra'!$C$8:$C$42,SMALL(IF("Página Web"='03.Muestra'!$D$8:$D$42,ROW('03.Muestra'!$C$8:$C$42)-MIN(ROW('03.Muestra'!$D$8:$D$42))+1,""),ROW()-1538)),"")</f>
        <v>Home - PortCastelló</v>
      </c>
      <c r="C1549" s="114" t="str" cm="1">
        <f t="array" ref="C1549">IFERROR(INDEX('03.Muestra'!$F$8:$F$42,SMALL(IF("Página Web"='03.Muestra'!$D$8:$D$42,ROW('03.Muestra'!$F$8:$F$42)-MIN(ROW('03.Muestra'!$D$8:$D$42))+1,""),ROW()-1538)),"")</f>
        <v>https://www.portcastello.com/</v>
      </c>
      <c r="D1549" s="130" t="s">
        <v>37</v>
      </c>
      <c r="E1549" s="107" t="str">
        <f t="shared" si="80"/>
        <v/>
      </c>
      <c r="F1549" s="19"/>
      <c r="G1549" s="19"/>
      <c r="H1549" s="19"/>
      <c r="I1549" s="19"/>
      <c r="J1549" s="19"/>
      <c r="K1549" s="233"/>
    </row>
    <row r="1550" spans="1:12" ht="12" customHeight="1">
      <c r="A1550" s="219" t="n" cm="1">
        <f t="array" ref="A1550">IFERROR(INDEX('03.Muestra'!$B$8:$B$42,SMALL(IF("Página Web"='03.Muestra'!$D$8:$D$42,ROW('03.Muestra'!$B$8:$B$42)-MIN(ROW('03.Muestra'!$D$8:$D$42))+1,""),ROW()-1538)),"")</f>
        <v>1.0</v>
      </c>
      <c r="B1550" s="114" t="str" cm="1">
        <f t="array" ref="B1550">IFERROR(INDEX('03.Muestra'!$C$8:$C$42,SMALL(IF("Página Web"='03.Muestra'!$D$8:$D$42,ROW('03.Muestra'!$C$8:$C$42)-MIN(ROW('03.Muestra'!$D$8:$D$42))+1,""),ROW()-1538)),"")</f>
        <v>Home - PortCastelló</v>
      </c>
      <c r="C1550" s="114" t="str" cm="1">
        <f t="array" ref="C1550">IFERROR(INDEX('03.Muestra'!$F$8:$F$42,SMALL(IF("Página Web"='03.Muestra'!$D$8:$D$42,ROW('03.Muestra'!$F$8:$F$42)-MIN(ROW('03.Muestra'!$D$8:$D$42))+1,""),ROW()-1538)),"")</f>
        <v>https://www.portcastello.com/</v>
      </c>
      <c r="D1550" s="130" t="s">
        <v>37</v>
      </c>
      <c r="E1550" s="107" t="str">
        <f t="shared" si="80"/>
        <v/>
      </c>
      <c r="F1550" s="19"/>
      <c r="G1550" s="19"/>
      <c r="H1550" s="19"/>
      <c r="I1550" s="19"/>
      <c r="J1550" s="19"/>
      <c r="K1550" s="233"/>
      <c r="L1550" s="19"/>
    </row>
    <row r="1551" spans="1:12" ht="12" customHeight="1">
      <c r="A1551" s="219" t="n" cm="1">
        <f t="array" ref="A1551">IFERROR(INDEX('03.Muestra'!$B$8:$B$42,SMALL(IF("Página Web"='03.Muestra'!$D$8:$D$42,ROW('03.Muestra'!$B$8:$B$42)-MIN(ROW('03.Muestra'!$D$8:$D$42))+1,""),ROW()-1538)),"")</f>
        <v>1.0</v>
      </c>
      <c r="B1551" s="114" t="str" cm="1">
        <f t="array" ref="B1551">IFERROR(INDEX('03.Muestra'!$C$8:$C$42,SMALL(IF("Página Web"='03.Muestra'!$D$8:$D$42,ROW('03.Muestra'!$C$8:$C$42)-MIN(ROW('03.Muestra'!$D$8:$D$42))+1,""),ROW()-1538)),"")</f>
        <v>Home - PortCastelló</v>
      </c>
      <c r="C1551" s="114" t="str" cm="1">
        <f t="array" ref="C1551">IFERROR(INDEX('03.Muestra'!$F$8:$F$42,SMALL(IF("Página Web"='03.Muestra'!$D$8:$D$42,ROW('03.Muestra'!$F$8:$F$42)-MIN(ROW('03.Muestra'!$D$8:$D$42))+1,""),ROW()-1538)),"")</f>
        <v>https://www.portcastello.com/</v>
      </c>
      <c r="D1551" s="130" t="s">
        <v>37</v>
      </c>
      <c r="E1551" s="107" t="str">
        <f t="shared" si="80"/>
        <v/>
      </c>
      <c r="F1551" s="19"/>
      <c r="G1551" s="19"/>
      <c r="H1551" s="19"/>
      <c r="I1551" s="19"/>
      <c r="J1551" s="19"/>
      <c r="K1551" s="233"/>
      <c r="L1551" s="19"/>
    </row>
    <row r="1552" spans="1:12" ht="12" customHeight="1">
      <c r="A1552" s="219" t="n" cm="1">
        <f t="array" ref="A1552">IFERROR(INDEX('03.Muestra'!$B$8:$B$42,SMALL(IF("Página Web"='03.Muestra'!$D$8:$D$42,ROW('03.Muestra'!$B$8:$B$42)-MIN(ROW('03.Muestra'!$D$8:$D$42))+1,""),ROW()-1538)),"")</f>
        <v>1.0</v>
      </c>
      <c r="B1552" s="114" t="str" cm="1">
        <f t="array" ref="B1552">IFERROR(INDEX('03.Muestra'!$C$8:$C$42,SMALL(IF("Página Web"='03.Muestra'!$D$8:$D$42,ROW('03.Muestra'!$C$8:$C$42)-MIN(ROW('03.Muestra'!$D$8:$D$42))+1,""),ROW()-1538)),"")</f>
        <v>Home - PortCastelló</v>
      </c>
      <c r="C1552" s="114" t="str" cm="1">
        <f t="array" ref="C1552">IFERROR(INDEX('03.Muestra'!$F$8:$F$42,SMALL(IF("Página Web"='03.Muestra'!$D$8:$D$42,ROW('03.Muestra'!$F$8:$F$42)-MIN(ROW('03.Muestra'!$D$8:$D$42))+1,""),ROW()-1538)),"")</f>
        <v>https://www.portcastello.com/</v>
      </c>
      <c r="D1552" s="130" t="s">
        <v>37</v>
      </c>
      <c r="E1552" s="107" t="str">
        <f t="shared" si="80"/>
        <v/>
      </c>
      <c r="F1552" s="19"/>
      <c r="G1552" s="19"/>
      <c r="H1552" s="19"/>
      <c r="I1552" s="19"/>
      <c r="J1552" s="19"/>
      <c r="K1552" s="233"/>
      <c r="L1552" s="19"/>
    </row>
    <row r="1553" spans="1:12" ht="12" customHeight="1">
      <c r="A1553" s="219" t="n" cm="1">
        <f t="array" ref="A1553">IFERROR(INDEX('03.Muestra'!$B$8:$B$42,SMALL(IF("Página Web"='03.Muestra'!$D$8:$D$42,ROW('03.Muestra'!$B$8:$B$42)-MIN(ROW('03.Muestra'!$D$8:$D$42))+1,""),ROW()-1538)),"")</f>
        <v>1.0</v>
      </c>
      <c r="B1553" s="114" t="str" cm="1">
        <f t="array" ref="B1553">IFERROR(INDEX('03.Muestra'!$C$8:$C$42,SMALL(IF("Página Web"='03.Muestra'!$D$8:$D$42,ROW('03.Muestra'!$C$8:$C$42)-MIN(ROW('03.Muestra'!$D$8:$D$42))+1,""),ROW()-1538)),"")</f>
        <v>Home - PortCastelló</v>
      </c>
      <c r="C1553" s="114" t="str" cm="1">
        <f t="array" ref="C1553">IFERROR(INDEX('03.Muestra'!$F$8:$F$42,SMALL(IF("Página Web"='03.Muestra'!$D$8:$D$42,ROW('03.Muestra'!$F$8:$F$42)-MIN(ROW('03.Muestra'!$D$8:$D$42))+1,""),ROW()-1538)),"")</f>
        <v>https://www.portcastello.com/</v>
      </c>
      <c r="D1553" s="130" t="s">
        <v>37</v>
      </c>
      <c r="E1553" s="107" t="str">
        <f t="shared" si="80"/>
        <v/>
      </c>
      <c r="F1553" s="19"/>
      <c r="G1553" s="19"/>
      <c r="H1553" s="19"/>
      <c r="I1553" s="19"/>
      <c r="J1553" s="19"/>
      <c r="K1553" s="233"/>
      <c r="L1553" s="19"/>
    </row>
    <row r="1554" spans="1:12" ht="12" customHeight="1">
      <c r="A1554" s="219" t="n" cm="1">
        <f t="array" ref="A1554">IFERROR(INDEX('03.Muestra'!$B$8:$B$42,SMALL(IF("Página Web"='03.Muestra'!$D$8:$D$42,ROW('03.Muestra'!$B$8:$B$42)-MIN(ROW('03.Muestra'!$D$8:$D$42))+1,""),ROW()-1538)),"")</f>
        <v>1.0</v>
      </c>
      <c r="B1554" s="114" t="str" cm="1">
        <f t="array" ref="B1554">IFERROR(INDEX('03.Muestra'!$C$8:$C$42,SMALL(IF("Página Web"='03.Muestra'!$D$8:$D$42,ROW('03.Muestra'!$C$8:$C$42)-MIN(ROW('03.Muestra'!$D$8:$D$42))+1,""),ROW()-1538)),"")</f>
        <v>Home - PortCastelló</v>
      </c>
      <c r="C1554" s="114" t="str" cm="1">
        <f t="array" ref="C1554">IFERROR(INDEX('03.Muestra'!$F$8:$F$42,SMALL(IF("Página Web"='03.Muestra'!$D$8:$D$42,ROW('03.Muestra'!$F$8:$F$42)-MIN(ROW('03.Muestra'!$D$8:$D$42))+1,""),ROW()-1538)),"")</f>
        <v>https://www.portcastello.com/</v>
      </c>
      <c r="D1554" s="130" t="s">
        <v>37</v>
      </c>
      <c r="E1554" s="107" t="str">
        <f t="shared" si="80"/>
        <v/>
      </c>
      <c r="F1554" s="19"/>
      <c r="G1554" s="19"/>
      <c r="H1554" s="19"/>
      <c r="I1554" s="19"/>
      <c r="J1554" s="19"/>
      <c r="K1554" s="233"/>
      <c r="L1554" s="19"/>
    </row>
    <row r="1555" spans="1:12" ht="12" customHeight="1">
      <c r="A1555" s="219" t="n" cm="1">
        <f t="array" ref="A1555">IFERROR(INDEX('03.Muestra'!$B$8:$B$42,SMALL(IF("Página Web"='03.Muestra'!$D$8:$D$42,ROW('03.Muestra'!$B$8:$B$42)-MIN(ROW('03.Muestra'!$D$8:$D$42))+1,""),ROW()-1538)),"")</f>
        <v>1.0</v>
      </c>
      <c r="B1555" s="114" t="str" cm="1">
        <f t="array" ref="B1555">IFERROR(INDEX('03.Muestra'!$C$8:$C$42,SMALL(IF("Página Web"='03.Muestra'!$D$8:$D$42,ROW('03.Muestra'!$C$8:$C$42)-MIN(ROW('03.Muestra'!$D$8:$D$42))+1,""),ROW()-1538)),"")</f>
        <v>Home - PortCastelló</v>
      </c>
      <c r="C1555" s="114" t="str" cm="1">
        <f t="array" ref="C1555">IFERROR(INDEX('03.Muestra'!$F$8:$F$42,SMALL(IF("Página Web"='03.Muestra'!$D$8:$D$42,ROW('03.Muestra'!$F$8:$F$42)-MIN(ROW('03.Muestra'!$D$8:$D$42))+1,""),ROW()-1538)),"")</f>
        <v>https://www.portcastello.com/</v>
      </c>
      <c r="D1555" s="130" t="s">
        <v>37</v>
      </c>
      <c r="E1555" s="107" t="str">
        <f t="shared" si="80"/>
        <v/>
      </c>
      <c r="F1555" s="19"/>
      <c r="G1555" s="19"/>
      <c r="H1555" s="19"/>
      <c r="I1555" s="19"/>
      <c r="J1555" s="19"/>
      <c r="K1555" s="233"/>
      <c r="L1555" s="19"/>
    </row>
    <row r="1556" spans="1:12" ht="12" customHeight="1">
      <c r="A1556" s="219" t="n" cm="1">
        <f t="array" ref="A1556">IFERROR(INDEX('03.Muestra'!$B$8:$B$42,SMALL(IF("Página Web"='03.Muestra'!$D$8:$D$42,ROW('03.Muestra'!$B$8:$B$42)-MIN(ROW('03.Muestra'!$D$8:$D$42))+1,""),ROW()-1538)),"")</f>
        <v>1.0</v>
      </c>
      <c r="B1556" s="114" t="str" cm="1">
        <f t="array" ref="B1556">IFERROR(INDEX('03.Muestra'!$C$8:$C$42,SMALL(IF("Página Web"='03.Muestra'!$D$8:$D$42,ROW('03.Muestra'!$C$8:$C$42)-MIN(ROW('03.Muestra'!$D$8:$D$42))+1,""),ROW()-1538)),"")</f>
        <v>Home - PortCastelló</v>
      </c>
      <c r="C1556" s="114" t="str" cm="1">
        <f t="array" ref="C1556">IFERROR(INDEX('03.Muestra'!$F$8:$F$42,SMALL(IF("Página Web"='03.Muestra'!$D$8:$D$42,ROW('03.Muestra'!$F$8:$F$42)-MIN(ROW('03.Muestra'!$D$8:$D$42))+1,""),ROW()-1538)),"")</f>
        <v>https://www.portcastello.com/</v>
      </c>
      <c r="D1556" s="130" t="s">
        <v>37</v>
      </c>
      <c r="E1556" s="107" t="str">
        <f t="shared" si="80"/>
        <v/>
      </c>
      <c r="F1556" s="19"/>
      <c r="G1556" s="19"/>
      <c r="H1556" s="19"/>
      <c r="I1556" s="19"/>
      <c r="J1556" s="19"/>
      <c r="K1556" s="233"/>
      <c r="L1556" s="19"/>
    </row>
    <row r="1557" spans="1:12" ht="12" customHeight="1">
      <c r="A1557" s="219" t="n" cm="1">
        <f t="array" ref="A1557">IFERROR(INDEX('03.Muestra'!$B$8:$B$42,SMALL(IF("Página Web"='03.Muestra'!$D$8:$D$42,ROW('03.Muestra'!$B$8:$B$42)-MIN(ROW('03.Muestra'!$D$8:$D$42))+1,""),ROW()-1538)),"")</f>
        <v>1.0</v>
      </c>
      <c r="B1557" s="114" t="str" cm="1">
        <f t="array" ref="B1557">IFERROR(INDEX('03.Muestra'!$C$8:$C$42,SMALL(IF("Página Web"='03.Muestra'!$D$8:$D$42,ROW('03.Muestra'!$C$8:$C$42)-MIN(ROW('03.Muestra'!$D$8:$D$42))+1,""),ROW()-1538)),"")</f>
        <v>Home - PortCastelló</v>
      </c>
      <c r="C1557" s="114" t="str" cm="1">
        <f t="array" ref="C1557">IFERROR(INDEX('03.Muestra'!$F$8:$F$42,SMALL(IF("Página Web"='03.Muestra'!$D$8:$D$42,ROW('03.Muestra'!$F$8:$F$42)-MIN(ROW('03.Muestra'!$D$8:$D$42))+1,""),ROW()-1538)),"")</f>
        <v>https://www.portcastello.com/</v>
      </c>
      <c r="D1557" s="130" t="s">
        <v>37</v>
      </c>
      <c r="E1557" s="107" t="str">
        <f t="shared" si="80"/>
        <v/>
      </c>
      <c r="F1557" s="19"/>
      <c r="G1557" s="19"/>
      <c r="H1557" s="19"/>
      <c r="I1557" s="19"/>
      <c r="J1557" s="19"/>
      <c r="K1557" s="233"/>
      <c r="L1557" s="19"/>
    </row>
    <row r="1558" spans="1:12" ht="12" customHeight="1">
      <c r="A1558" s="219" t="n" cm="1">
        <f t="array" ref="A1558">IFERROR(INDEX('03.Muestra'!$B$8:$B$42,SMALL(IF("Página Web"='03.Muestra'!$D$8:$D$42,ROW('03.Muestra'!$B$8:$B$42)-MIN(ROW('03.Muestra'!$D$8:$D$42))+1,""),ROW()-1538)),"")</f>
        <v>1.0</v>
      </c>
      <c r="B1558" s="114" t="str" cm="1">
        <f t="array" ref="B1558">IFERROR(INDEX('03.Muestra'!$C$8:$C$42,SMALL(IF("Página Web"='03.Muestra'!$D$8:$D$42,ROW('03.Muestra'!$C$8:$C$42)-MIN(ROW('03.Muestra'!$D$8:$D$42))+1,""),ROW()-1538)),"")</f>
        <v>Home - PortCastelló</v>
      </c>
      <c r="C1558" s="114" t="str" cm="1">
        <f t="array" ref="C1558">IFERROR(INDEX('03.Muestra'!$F$8:$F$42,SMALL(IF("Página Web"='03.Muestra'!$D$8:$D$42,ROW('03.Muestra'!$F$8:$F$42)-MIN(ROW('03.Muestra'!$D$8:$D$42))+1,""),ROW()-1538)),"")</f>
        <v>https://www.portcastello.com/</v>
      </c>
      <c r="D1558" s="130" t="s">
        <v>37</v>
      </c>
      <c r="E1558" s="107" t="str">
        <f t="shared" si="80"/>
        <v/>
      </c>
      <c r="F1558" s="19"/>
      <c r="G1558" s="19"/>
      <c r="H1558" s="19"/>
      <c r="I1558" s="19"/>
      <c r="J1558" s="19"/>
      <c r="K1558" s="233"/>
      <c r="L1558" s="19"/>
    </row>
    <row r="1559" spans="1:12" ht="12" customHeight="1">
      <c r="A1559" s="219" t="n" cm="1">
        <f t="array" ref="A1559">IFERROR(INDEX('03.Muestra'!$B$8:$B$42,SMALL(IF("Página Web"='03.Muestra'!$D$8:$D$42,ROW('03.Muestra'!$B$8:$B$42)-MIN(ROW('03.Muestra'!$D$8:$D$42))+1,""),ROW()-1538)),"")</f>
        <v>1.0</v>
      </c>
      <c r="B1559" s="114" t="str" cm="1">
        <f t="array" ref="B1559">IFERROR(INDEX('03.Muestra'!$C$8:$C$42,SMALL(IF("Página Web"='03.Muestra'!$D$8:$D$42,ROW('03.Muestra'!$C$8:$C$42)-MIN(ROW('03.Muestra'!$D$8:$D$42))+1,""),ROW()-1538)),"")</f>
        <v>Home - PortCastelló</v>
      </c>
      <c r="C1559" s="114" t="str" cm="1">
        <f t="array" ref="C1559">IFERROR(INDEX('03.Muestra'!$F$8:$F$42,SMALL(IF("Página Web"='03.Muestra'!$D$8:$D$42,ROW('03.Muestra'!$F$8:$F$42)-MIN(ROW('03.Muestra'!$D$8:$D$42))+1,""),ROW()-1538)),"")</f>
        <v>https://www.portcastello.com/</v>
      </c>
      <c r="D1559" s="130" t="s">
        <v>37</v>
      </c>
      <c r="E1559" s="107" t="str">
        <f t="shared" si="80"/>
        <v/>
      </c>
      <c r="F1559" s="19"/>
      <c r="G1559" s="19"/>
      <c r="H1559" s="19"/>
      <c r="I1559" s="19"/>
      <c r="J1559" s="19"/>
      <c r="K1559" s="233"/>
      <c r="L1559" s="19"/>
    </row>
    <row r="1560" spans="1:12" ht="12" customHeight="1">
      <c r="A1560" s="219" t="n" cm="1">
        <f t="array" ref="A1560">IFERROR(INDEX('03.Muestra'!$B$8:$B$42,SMALL(IF("Página Web"='03.Muestra'!$D$8:$D$42,ROW('03.Muestra'!$B$8:$B$42)-MIN(ROW('03.Muestra'!$D$8:$D$42))+1,""),ROW()-1538)),"")</f>
        <v>1.0</v>
      </c>
      <c r="B1560" s="114" t="str" cm="1">
        <f t="array" ref="B1560">IFERROR(INDEX('03.Muestra'!$C$8:$C$42,SMALL(IF("Página Web"='03.Muestra'!$D$8:$D$42,ROW('03.Muestra'!$C$8:$C$42)-MIN(ROW('03.Muestra'!$D$8:$D$42))+1,""),ROW()-1538)),"")</f>
        <v>Home - PortCastelló</v>
      </c>
      <c r="C1560" s="114" t="str" cm="1">
        <f t="array" ref="C1560">IFERROR(INDEX('03.Muestra'!$F$8:$F$42,SMALL(IF("Página Web"='03.Muestra'!$D$8:$D$42,ROW('03.Muestra'!$F$8:$F$42)-MIN(ROW('03.Muestra'!$D$8:$D$42))+1,""),ROW()-1538)),"")</f>
        <v>https://www.portcastello.com/</v>
      </c>
      <c r="D1560" s="130" t="s">
        <v>37</v>
      </c>
      <c r="E1560" s="107" t="str">
        <f t="shared" si="80"/>
        <v/>
      </c>
      <c r="F1560" s="19"/>
      <c r="G1560" s="19"/>
      <c r="H1560" s="19"/>
      <c r="I1560" s="19"/>
      <c r="J1560" s="19"/>
      <c r="K1560" s="233"/>
      <c r="L1560" s="19"/>
    </row>
    <row r="1561" spans="1:12" ht="12" customHeight="1">
      <c r="A1561" s="219" t="n" cm="1">
        <f t="array" ref="A1561">IFERROR(INDEX('03.Muestra'!$B$8:$B$42,SMALL(IF("Página Web"='03.Muestra'!$D$8:$D$42,ROW('03.Muestra'!$B$8:$B$42)-MIN(ROW('03.Muestra'!$D$8:$D$42))+1,""),ROW()-1538)),"")</f>
        <v>1.0</v>
      </c>
      <c r="B1561" s="114" t="str" cm="1">
        <f t="array" ref="B1561">IFERROR(INDEX('03.Muestra'!$C$8:$C$42,SMALL(IF("Página Web"='03.Muestra'!$D$8:$D$42,ROW('03.Muestra'!$C$8:$C$42)-MIN(ROW('03.Muestra'!$D$8:$D$42))+1,""),ROW()-1538)),"")</f>
        <v>Home - PortCastelló</v>
      </c>
      <c r="C1561" s="114" t="str" cm="1">
        <f t="array" ref="C1561">IFERROR(INDEX('03.Muestra'!$F$8:$F$42,SMALL(IF("Página Web"='03.Muestra'!$D$8:$D$42,ROW('03.Muestra'!$F$8:$F$42)-MIN(ROW('03.Muestra'!$D$8:$D$42))+1,""),ROW()-1538)),"")</f>
        <v>https://www.portcastello.com/</v>
      </c>
      <c r="D1561" s="130" t="s">
        <v>37</v>
      </c>
      <c r="E1561" s="107" t="str">
        <f t="shared" si="80"/>
        <v/>
      </c>
      <c r="F1561" s="19"/>
      <c r="G1561" s="19"/>
      <c r="H1561" s="19"/>
      <c r="I1561" s="19"/>
      <c r="J1561" s="19"/>
      <c r="K1561" s="233"/>
      <c r="L1561" s="19"/>
    </row>
    <row r="1562" spans="1:12" ht="12" customHeight="1">
      <c r="A1562" s="219" t="n" cm="1">
        <f t="array" ref="A1562">IFERROR(INDEX('03.Muestra'!$B$8:$B$42,SMALL(IF("Página Web"='03.Muestra'!$D$8:$D$42,ROW('03.Muestra'!$B$8:$B$42)-MIN(ROW('03.Muestra'!$D$8:$D$42))+1,""),ROW()-1538)),"")</f>
        <v>1.0</v>
      </c>
      <c r="B1562" s="114" t="str" cm="1">
        <f t="array" ref="B1562">IFERROR(INDEX('03.Muestra'!$C$8:$C$42,SMALL(IF("Página Web"='03.Muestra'!$D$8:$D$42,ROW('03.Muestra'!$C$8:$C$42)-MIN(ROW('03.Muestra'!$D$8:$D$42))+1,""),ROW()-1538)),"")</f>
        <v>Home - PortCastelló</v>
      </c>
      <c r="C1562" s="114" t="str" cm="1">
        <f t="array" ref="C1562">IFERROR(INDEX('03.Muestra'!$F$8:$F$42,SMALL(IF("Página Web"='03.Muestra'!$D$8:$D$42,ROW('03.Muestra'!$F$8:$F$42)-MIN(ROW('03.Muestra'!$D$8:$D$42))+1,""),ROW()-1538)),"")</f>
        <v>https://www.portcastello.com/</v>
      </c>
      <c r="D1562" s="130" t="s">
        <v>37</v>
      </c>
      <c r="E1562" s="107" t="str">
        <f t="shared" si="80"/>
        <v/>
      </c>
      <c r="F1562" s="19"/>
      <c r="G1562" s="19"/>
      <c r="H1562" s="19"/>
      <c r="I1562" s="19"/>
      <c r="J1562" s="19"/>
      <c r="K1562" s="233"/>
      <c r="L1562" s="19"/>
    </row>
    <row r="1563" spans="1:12" ht="12" customHeight="1">
      <c r="A1563" s="219" t="n" cm="1">
        <f t="array" ref="A1563">IFERROR(INDEX('03.Muestra'!$B$8:$B$42,SMALL(IF("Página Web"='03.Muestra'!$D$8:$D$42,ROW('03.Muestra'!$B$8:$B$42)-MIN(ROW('03.Muestra'!$D$8:$D$42))+1,""),ROW()-1538)),"")</f>
        <v>1.0</v>
      </c>
      <c r="B1563" s="114" t="str" cm="1">
        <f t="array" ref="B1563">IFERROR(INDEX('03.Muestra'!$C$8:$C$42,SMALL(IF("Página Web"='03.Muestra'!$D$8:$D$42,ROW('03.Muestra'!$C$8:$C$42)-MIN(ROW('03.Muestra'!$D$8:$D$42))+1,""),ROW()-1538)),"")</f>
        <v>Home - PortCastelló</v>
      </c>
      <c r="C1563" s="114" t="str" cm="1">
        <f t="array" ref="C1563">IFERROR(INDEX('03.Muestra'!$F$8:$F$42,SMALL(IF("Página Web"='03.Muestra'!$D$8:$D$42,ROW('03.Muestra'!$F$8:$F$42)-MIN(ROW('03.Muestra'!$D$8:$D$42))+1,""),ROW()-1538)),"")</f>
        <v>https://www.portcastello.com/</v>
      </c>
      <c r="D1563" s="130" t="s">
        <v>37</v>
      </c>
      <c r="E1563" s="107" t="str">
        <f t="shared" si="80"/>
        <v/>
      </c>
      <c r="F1563" s="19"/>
      <c r="G1563" s="19"/>
      <c r="H1563" s="19"/>
      <c r="I1563" s="19"/>
      <c r="J1563" s="19"/>
      <c r="K1563" s="233"/>
      <c r="L1563" s="19"/>
    </row>
    <row r="1564" spans="1:12" ht="12" customHeight="1">
      <c r="A1564" s="219" t="n" cm="1">
        <f t="array" ref="A1564">IFERROR(INDEX('03.Muestra'!$B$8:$B$42,SMALL(IF("Página Web"='03.Muestra'!$D$8:$D$42,ROW('03.Muestra'!$B$8:$B$42)-MIN(ROW('03.Muestra'!$D$8:$D$42))+1,""),ROW()-1538)),"")</f>
        <v>1.0</v>
      </c>
      <c r="B1564" s="114" t="str" cm="1">
        <f t="array" ref="B1564">IFERROR(INDEX('03.Muestra'!$C$8:$C$42,SMALL(IF("Página Web"='03.Muestra'!$D$8:$D$42,ROW('03.Muestra'!$C$8:$C$42)-MIN(ROW('03.Muestra'!$D$8:$D$42))+1,""),ROW()-1538)),"")</f>
        <v>Home - PortCastelló</v>
      </c>
      <c r="C1564" s="114" t="str" cm="1">
        <f t="array" ref="C1564">IFERROR(INDEX('03.Muestra'!$F$8:$F$42,SMALL(IF("Página Web"='03.Muestra'!$D$8:$D$42,ROW('03.Muestra'!$F$8:$F$42)-MIN(ROW('03.Muestra'!$D$8:$D$42))+1,""),ROW()-1538)),"")</f>
        <v>https://www.portcastello.com/</v>
      </c>
      <c r="D1564" s="130" t="s">
        <v>37</v>
      </c>
      <c r="E1564" s="107" t="str">
        <f t="shared" si="80"/>
        <v/>
      </c>
      <c r="F1564" s="19"/>
      <c r="G1564" s="19"/>
      <c r="H1564" s="19"/>
      <c r="I1564" s="19"/>
      <c r="J1564" s="19"/>
      <c r="K1564" s="233"/>
      <c r="L1564" s="19"/>
    </row>
    <row r="1565" spans="1:12" ht="12" customHeight="1">
      <c r="A1565" s="219" t="n" cm="1">
        <f t="array" ref="A1565">IFERROR(INDEX('03.Muestra'!$B$8:$B$42,SMALL(IF("Página Web"='03.Muestra'!$D$8:$D$42,ROW('03.Muestra'!$B$8:$B$42)-MIN(ROW('03.Muestra'!$D$8:$D$42))+1,""),ROW()-1538)),"")</f>
        <v>1.0</v>
      </c>
      <c r="B1565" s="114" t="str" cm="1">
        <f t="array" ref="B1565">IFERROR(INDEX('03.Muestra'!$C$8:$C$42,SMALL(IF("Página Web"='03.Muestra'!$D$8:$D$42,ROW('03.Muestra'!$C$8:$C$42)-MIN(ROW('03.Muestra'!$D$8:$D$42))+1,""),ROW()-1538)),"")</f>
        <v>Home - PortCastelló</v>
      </c>
      <c r="C1565" s="114" t="str" cm="1">
        <f t="array" ref="C1565">IFERROR(INDEX('03.Muestra'!$F$8:$F$42,SMALL(IF("Página Web"='03.Muestra'!$D$8:$D$42,ROW('03.Muestra'!$F$8:$F$42)-MIN(ROW('03.Muestra'!$D$8:$D$42))+1,""),ROW()-1538)),"")</f>
        <v>https://www.portcastello.com/</v>
      </c>
      <c r="D1565" s="130" t="s">
        <v>37</v>
      </c>
      <c r="E1565" s="107" t="str">
        <f t="shared" si="80"/>
        <v/>
      </c>
      <c r="F1565" s="19"/>
      <c r="G1565" s="19"/>
      <c r="H1565" s="19"/>
      <c r="I1565" s="19"/>
      <c r="J1565" s="19"/>
      <c r="K1565" s="233"/>
      <c r="L1565" s="19"/>
    </row>
    <row r="1566" spans="1:12" ht="12" customHeight="1">
      <c r="A1566" s="219" t="n" cm="1">
        <f t="array" ref="A1566">IFERROR(INDEX('03.Muestra'!$B$8:$B$42,SMALL(IF("Página Web"='03.Muestra'!$D$8:$D$42,ROW('03.Muestra'!$B$8:$B$42)-MIN(ROW('03.Muestra'!$D$8:$D$42))+1,""),ROW()-1538)),"")</f>
        <v>1.0</v>
      </c>
      <c r="B1566" s="114" t="str" cm="1">
        <f t="array" ref="B1566">IFERROR(INDEX('03.Muestra'!$C$8:$C$42,SMALL(IF("Página Web"='03.Muestra'!$D$8:$D$42,ROW('03.Muestra'!$C$8:$C$42)-MIN(ROW('03.Muestra'!$D$8:$D$42))+1,""),ROW()-1538)),"")</f>
        <v>Home - PortCastelló</v>
      </c>
      <c r="C1566" s="114" t="str" cm="1">
        <f t="array" ref="C1566">IFERROR(INDEX('03.Muestra'!$F$8:$F$42,SMALL(IF("Página Web"='03.Muestra'!$D$8:$D$42,ROW('03.Muestra'!$F$8:$F$42)-MIN(ROW('03.Muestra'!$D$8:$D$42))+1,""),ROW()-1538)),"")</f>
        <v>https://www.portcastello.com/</v>
      </c>
      <c r="D1566" s="130" t="s">
        <v>37</v>
      </c>
      <c r="E1566" s="107" t="str">
        <f t="shared" si="80"/>
        <v/>
      </c>
      <c r="G1566" s="19"/>
      <c r="H1566" s="19"/>
      <c r="I1566" s="19"/>
      <c r="J1566" s="19"/>
      <c r="K1566" s="233"/>
      <c r="L1566" s="19"/>
    </row>
    <row r="1567" spans="1:12" ht="12" customHeight="1">
      <c r="A1567" s="219" t="n" cm="1">
        <f t="array" ref="A1567">IFERROR(INDEX('03.Muestra'!$B$8:$B$42,SMALL(IF("Página Web"='03.Muestra'!$D$8:$D$42,ROW('03.Muestra'!$B$8:$B$42)-MIN(ROW('03.Muestra'!$D$8:$D$42))+1,""),ROW()-1538)),"")</f>
        <v>1.0</v>
      </c>
      <c r="B1567" s="114" t="str" cm="1">
        <f t="array" ref="B1567">IFERROR(INDEX('03.Muestra'!$C$8:$C$42,SMALL(IF("Página Web"='03.Muestra'!$D$8:$D$42,ROW('03.Muestra'!$C$8:$C$42)-MIN(ROW('03.Muestra'!$D$8:$D$42))+1,""),ROW()-1538)),"")</f>
        <v>Home - PortCastelló</v>
      </c>
      <c r="C1567" s="114" t="str" cm="1">
        <f t="array" ref="C1567">IFERROR(INDEX('03.Muestra'!$F$8:$F$42,SMALL(IF("Página Web"='03.Muestra'!$D$8:$D$42,ROW('03.Muestra'!$F$8:$F$42)-MIN(ROW('03.Muestra'!$D$8:$D$42))+1,""),ROW()-1538)),"")</f>
        <v>https://www.portcastello.com/</v>
      </c>
      <c r="D1567" s="130" t="s">
        <v>37</v>
      </c>
      <c r="E1567" s="107" t="str">
        <f t="shared" si="80"/>
        <v/>
      </c>
      <c r="F1567" s="124"/>
      <c r="G1567" s="19"/>
      <c r="H1567" s="19"/>
      <c r="I1567" s="19"/>
      <c r="J1567" s="19"/>
      <c r="K1567" s="233"/>
      <c r="L1567" s="19"/>
    </row>
    <row r="1568" spans="1:12" ht="12" customHeight="1">
      <c r="A1568" s="219" t="n" cm="1">
        <f t="array" ref="A1568">IFERROR(INDEX('03.Muestra'!$B$8:$B$42,SMALL(IF("Página Web"='03.Muestra'!$D$8:$D$42,ROW('03.Muestra'!$B$8:$B$42)-MIN(ROW('03.Muestra'!$D$8:$D$42))+1,""),ROW()-1538)),"")</f>
        <v>1.0</v>
      </c>
      <c r="B1568" s="114" t="str" cm="1">
        <f t="array" ref="B1568">IFERROR(INDEX('03.Muestra'!$C$8:$C$42,SMALL(IF("Página Web"='03.Muestra'!$D$8:$D$42,ROW('03.Muestra'!$C$8:$C$42)-MIN(ROW('03.Muestra'!$D$8:$D$42))+1,""),ROW()-1538)),"")</f>
        <v>Home - PortCastelló</v>
      </c>
      <c r="C1568" s="114" t="str" cm="1">
        <f t="array" ref="C1568">IFERROR(INDEX('03.Muestra'!$F$8:$F$42,SMALL(IF("Página Web"='03.Muestra'!$D$8:$D$42,ROW('03.Muestra'!$F$8:$F$42)-MIN(ROW('03.Muestra'!$D$8:$D$42))+1,""),ROW()-1538)),"")</f>
        <v>https://www.portcastello.com/</v>
      </c>
      <c r="D1568" s="130" t="s">
        <v>37</v>
      </c>
      <c r="E1568" s="107" t="str">
        <f t="shared" si="80"/>
        <v/>
      </c>
      <c r="F1568" s="124"/>
      <c r="G1568" s="19"/>
      <c r="H1568" s="19"/>
      <c r="I1568" s="19"/>
      <c r="J1568" s="19"/>
      <c r="K1568" s="233"/>
      <c r="L1568" s="19"/>
    </row>
    <row r="1569" spans="1:12" ht="12" customHeight="1">
      <c r="A1569" s="219" t="n" cm="1">
        <f t="array" ref="A1569">IFERROR(INDEX('03.Muestra'!$B$8:$B$42,SMALL(IF("Página Web"='03.Muestra'!$D$8:$D$42,ROW('03.Muestra'!$B$8:$B$42)-MIN(ROW('03.Muestra'!$D$8:$D$42))+1,""),ROW()-1538)),"")</f>
        <v>1.0</v>
      </c>
      <c r="B1569" s="114" t="str" cm="1">
        <f t="array" ref="B1569">IFERROR(INDEX('03.Muestra'!$C$8:$C$42,SMALL(IF("Página Web"='03.Muestra'!$D$8:$D$42,ROW('03.Muestra'!$C$8:$C$42)-MIN(ROW('03.Muestra'!$D$8:$D$42))+1,""),ROW()-1538)),"")</f>
        <v>Home - PortCastelló</v>
      </c>
      <c r="C1569" s="114" t="str" cm="1">
        <f t="array" ref="C1569">IFERROR(INDEX('03.Muestra'!$F$8:$F$42,SMALL(IF("Página Web"='03.Muestra'!$D$8:$D$42,ROW('03.Muestra'!$F$8:$F$42)-MIN(ROW('03.Muestra'!$D$8:$D$42))+1,""),ROW()-1538)),"")</f>
        <v>https://www.portcastello.com/</v>
      </c>
      <c r="D1569" s="130" t="s">
        <v>37</v>
      </c>
      <c r="E1569" s="107" t="str">
        <f t="shared" si="80"/>
        <v/>
      </c>
      <c r="F1569" s="124"/>
      <c r="G1569" s="19"/>
      <c r="H1569" s="19"/>
      <c r="I1569" s="19"/>
      <c r="J1569" s="19"/>
      <c r="K1569" s="233"/>
      <c r="L1569" s="19"/>
    </row>
    <row r="1570" spans="1:12" ht="12" customHeight="1">
      <c r="A1570" s="219" t="n" cm="1">
        <f t="array" ref="A1570">IFERROR(INDEX('03.Muestra'!$B$8:$B$42,SMALL(IF("Página Web"='03.Muestra'!$D$8:$D$42,ROW('03.Muestra'!$B$8:$B$42)-MIN(ROW('03.Muestra'!$D$8:$D$42))+1,""),ROW()-1538)),"")</f>
        <v>1.0</v>
      </c>
      <c r="B1570" s="114" t="str" cm="1">
        <f t="array" ref="B1570">IFERROR(INDEX('03.Muestra'!$C$8:$C$42,SMALL(IF("Página Web"='03.Muestra'!$D$8:$D$42,ROW('03.Muestra'!$C$8:$C$42)-MIN(ROW('03.Muestra'!$D$8:$D$42))+1,""),ROW()-1538)),"")</f>
        <v>Home - PortCastelló</v>
      </c>
      <c r="C1570" s="114" t="str" cm="1">
        <f t="array" ref="C1570">IFERROR(INDEX('03.Muestra'!$F$8:$F$42,SMALL(IF("Página Web"='03.Muestra'!$D$8:$D$42,ROW('03.Muestra'!$F$8:$F$42)-MIN(ROW('03.Muestra'!$D$8:$D$42))+1,""),ROW()-1538)),"")</f>
        <v>https://www.portcastello.com/</v>
      </c>
      <c r="D1570" s="130" t="s">
        <v>37</v>
      </c>
      <c r="E1570" s="107" t="str">
        <f t="shared" si="80"/>
        <v/>
      </c>
      <c r="F1570" s="124"/>
      <c r="G1570" s="19"/>
      <c r="H1570" s="19"/>
      <c r="I1570" s="19"/>
      <c r="J1570" s="19"/>
      <c r="K1570" s="233"/>
      <c r="L1570" s="19"/>
    </row>
    <row r="1571" spans="1:12" ht="12" customHeight="1">
      <c r="A1571" s="219" t="n" cm="1">
        <f t="array" ref="A1571">IFERROR(INDEX('03.Muestra'!$B$8:$B$42,SMALL(IF("Página Web"='03.Muestra'!$D$8:$D$42,ROW('03.Muestra'!$B$8:$B$42)-MIN(ROW('03.Muestra'!$D$8:$D$42))+1,""),ROW()-1538)),"")</f>
        <v>1.0</v>
      </c>
      <c r="B1571" s="114" t="str" cm="1">
        <f t="array" ref="B1571">IFERROR(INDEX('03.Muestra'!$C$8:$C$42,SMALL(IF("Página Web"='03.Muestra'!$D$8:$D$42,ROW('03.Muestra'!$C$8:$C$42)-MIN(ROW('03.Muestra'!$D$8:$D$42))+1,""),ROW()-1538)),"")</f>
        <v>Home - PortCastelló</v>
      </c>
      <c r="C1571" s="114" t="str" cm="1">
        <f t="array" ref="C1571">IFERROR(INDEX('03.Muestra'!$F$8:$F$42,SMALL(IF("Página Web"='03.Muestra'!$D$8:$D$42,ROW('03.Muestra'!$F$8:$F$42)-MIN(ROW('03.Muestra'!$D$8:$D$42))+1,""),ROW()-1538)),"")</f>
        <v>https://www.portcastello.com/</v>
      </c>
      <c r="D1571" s="130" t="s">
        <v>37</v>
      </c>
      <c r="E1571" s="107" t="str">
        <f t="shared" si="80"/>
        <v/>
      </c>
      <c r="F1571" s="124"/>
      <c r="G1571" s="19"/>
      <c r="H1571" s="19"/>
      <c r="I1571" s="19"/>
      <c r="J1571" s="19"/>
      <c r="K1571" s="233"/>
      <c r="L1571" s="19"/>
    </row>
    <row r="1572" spans="1:12" ht="12" customHeight="1">
      <c r="A1572" s="219" t="str" cm="1">
        <f t="array" ref="A1572">IFERROR(INDEX('03.Muestra'!$B$8:$B$42,SMALL(IF("Página Web"='03.Muestra'!$D$8:$D$42,ROW('03.Muestra'!$B$8:$B$42)-MIN(ROW('03.Muestra'!$D$8:$D$42))+1,""),ROW()-1538)),"")</f>
        <v/>
      </c>
      <c r="B1572" s="114" t="str" cm="1">
        <f t="array" ref="B1572">IFERROR(INDEX('03.Muestra'!$C$8:$C$42,SMALL(IF("Página Web"='03.Muestra'!$D$8:$D$42,ROW('03.Muestra'!$C$8:$C$42)-MIN(ROW('03.Muestra'!$D$8:$D$42))+1,""),ROW()-1538)),"")</f>
        <v/>
      </c>
      <c r="C1572" s="114" t="str" cm="1">
        <f t="array" ref="C1572">IFERROR(INDEX('03.Muestra'!$F$8:$F$42,SMALL(IF("Página Web"='03.Muestra'!$D$8:$D$42,ROW('03.Muestra'!$F$8:$F$42)-MIN(ROW('03.Muestra'!$D$8:$D$42))+1,""),ROW()-1538)),"")</f>
        <v/>
      </c>
      <c r="D1572" s="130" t="str">
        <f t="shared" si="81" ref="D1572:D1573">IF(AND(B1572&lt;&gt;"",C1572&lt;&gt;""),"N/T","")</f>
        <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268</v>
      </c>
      <c r="B1576" s="24" t="s">
        <v>90</v>
      </c>
      <c r="C1576" s="25" t="s">
        <v>414</v>
      </c>
      <c r="D1576" s="26" t="s">
        <v>32</v>
      </c>
      <c r="E1576" s="123"/>
      <c r="K1576" s="233"/>
      <c r="L1576" s="19"/>
    </row>
    <row r="1577" spans="1:12" ht="12" customHeight="1">
      <c r="A1577" s="219" t="n" cm="1">
        <f t="array" ref="A1577">IFERROR(INDEX('03.Muestra'!$B$8:$B$42,SMALL(IF("Página Web"='03.Muestra'!$D$8:$D$42,ROW('03.Muestra'!$B$8:$B$42)-MIN(ROW('03.Muestra'!$D$8:$D$42))+1,""),ROW()-1576)),"")</f>
        <v>1.0</v>
      </c>
      <c r="B1577" s="114" t="str" cm="1">
        <f t="array" ref="B1577">IFERROR(INDEX('03.Muestra'!$C$8:$C$42,SMALL(IF("Página Web"='03.Muestra'!$D$8:$D$42,ROW('03.Muestra'!$C$8:$C$42)-MIN(ROW('03.Muestra'!$D$8:$D$42))+1,""),ROW()-1576)),"")</f>
        <v>Home - PortCastelló</v>
      </c>
      <c r="C1577" s="114" t="str" cm="1">
        <f t="array" ref="C1577">IFERROR(INDEX('03.Muestra'!$F$8:$F$42,SMALL(IF("Página Web"='03.Muestra'!$D$8:$D$42,ROW('03.Muestra'!$F$8:$F$42)-MIN(ROW('03.Muestra'!$D$8:$D$42))+1,""),ROW()-1576)),"")</f>
        <v>https://www.portcastello.com/</v>
      </c>
      <c r="D1577" s="130" t="str">
        <f>IF(AND(B1577&lt;&gt;"",C1577&lt;&gt;""),"N/T","")</f>
        <v>N/T</v>
      </c>
      <c r="E1577" s="107" t="str">
        <f t="shared" ref="E1577:E1611" si="82">IF(D1577&lt;&gt;"",IF(AND(B1577&lt;&gt;"",C1577&lt;&gt;""),"","ERR"),"")</f>
        <v/>
      </c>
      <c r="F1577" s="115" t="s">
        <v>33</v>
      </c>
      <c r="G1577" s="116" t="s">
        <v>37</v>
      </c>
      <c r="H1577" s="117" t="s">
        <v>35</v>
      </c>
      <c r="I1577" s="118" t="s">
        <v>28</v>
      </c>
      <c r="J1577" s="119" t="s">
        <v>26</v>
      </c>
      <c r="K1577" s="226" t="s">
        <v>474</v>
      </c>
      <c r="L1577" s="19"/>
    </row>
    <row r="1578" spans="1:12" ht="12" customHeight="1">
      <c r="A1578" s="219" t="n" cm="1">
        <f t="array" ref="A1578">IFERROR(INDEX('03.Muestra'!$B$8:$B$42,SMALL(IF("Página Web"='03.Muestra'!$D$8:$D$42,ROW('03.Muestra'!$B$8:$B$42)-MIN(ROW('03.Muestra'!$D$8:$D$42))+1,""),ROW()-1576)),"")</f>
        <v>1.0</v>
      </c>
      <c r="B1578" s="114" t="str" cm="1">
        <f t="array" ref="B1578">IFERROR(INDEX('03.Muestra'!$C$8:$C$42,SMALL(IF("Página Web"='03.Muestra'!$D$8:$D$42,ROW('03.Muestra'!$C$8:$C$42)-MIN(ROW('03.Muestra'!$D$8:$D$42))+1,""),ROW()-1576)),"")</f>
        <v>Home - PortCastelló</v>
      </c>
      <c r="C1578" s="114" t="str" cm="1">
        <f t="array" ref="C1578">IFERROR(INDEX('03.Muestra'!$F$8:$F$42,SMALL(IF("Página Web"='03.Muestra'!$D$8:$D$42,ROW('03.Muestra'!$F$8:$F$42)-MIN(ROW('03.Muestra'!$D$8:$D$42))+1,""),ROW()-1576)),"")</f>
        <v>https://www.portcastello.com/</v>
      </c>
      <c r="D1578" s="130" t="str">
        <f t="shared" ref="D1578:D1611" si="83">IF(AND(B1578&lt;&gt;"",C1578&lt;&gt;""),"N/T","")</f>
        <v>N/T</v>
      </c>
      <c r="E1578" s="107" t="str">
        <f t="shared" si="82"/>
        <v/>
      </c>
      <c r="F1578" s="120" t="n">
        <f ca="1">COUNTIF($D1577:INDIRECT("$D" &amp;  SUM(ROW()-1,'03.Muestra'!$D$45)-1),F1577)</f>
        <v>33.0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IF(COUNTIF('03.Muestra'!$D$8:$D$42,"Página Web")=0,0,COUNTBLANK($D1577:INDIRECT("$D" &amp;  SUM(ROW()-1,COUNTIF('03.Muestra'!$D$8:$D$42,"Página Web"))-1)))</f>
        <v>0.0</v>
      </c>
      <c r="L1578" s="19"/>
    </row>
    <row r="1579" spans="1:12" ht="12" customHeight="1">
      <c r="A1579" s="219" t="n" cm="1">
        <f t="array" ref="A1579">IFERROR(INDEX('03.Muestra'!$B$8:$B$42,SMALL(IF("Página Web"='03.Muestra'!$D$8:$D$42,ROW('03.Muestra'!$B$8:$B$42)-MIN(ROW('03.Muestra'!$D$8:$D$42))+1,""),ROW()-1576)),"")</f>
        <v>1.0</v>
      </c>
      <c r="B1579" s="114" t="str" cm="1">
        <f t="array" ref="B1579">IFERROR(INDEX('03.Muestra'!$C$8:$C$42,SMALL(IF("Página Web"='03.Muestra'!$D$8:$D$42,ROW('03.Muestra'!$C$8:$C$42)-MIN(ROW('03.Muestra'!$D$8:$D$42))+1,""),ROW()-1576)),"")</f>
        <v>Home - PortCastelló</v>
      </c>
      <c r="C1579" s="114" t="str" cm="1">
        <f t="array" ref="C1579">IFERROR(INDEX('03.Muestra'!$F$8:$F$42,SMALL(IF("Página Web"='03.Muestra'!$D$8:$D$42,ROW('03.Muestra'!$F$8:$F$42)-MIN(ROW('03.Muestra'!$D$8:$D$42))+1,""),ROW()-1576)),"")</f>
        <v>https://www.portcastello.com/</v>
      </c>
      <c r="D1579" s="130" t="str">
        <f t="shared" si="83"/>
        <v>N/T</v>
      </c>
      <c r="E1579" s="107" t="str">
        <f t="shared" si="82"/>
        <v/>
      </c>
      <c r="G1579" s="19"/>
      <c r="H1579" s="19"/>
      <c r="I1579" s="19"/>
      <c r="J1579" s="19"/>
      <c r="K1579" s="233"/>
      <c r="L1579" s="19"/>
    </row>
    <row r="1580" spans="1:12" ht="12" customHeight="1">
      <c r="A1580" s="219" t="n" cm="1">
        <f t="array" ref="A1580">IFERROR(INDEX('03.Muestra'!$B$8:$B$42,SMALL(IF("Página Web"='03.Muestra'!$D$8:$D$42,ROW('03.Muestra'!$B$8:$B$42)-MIN(ROW('03.Muestra'!$D$8:$D$42))+1,""),ROW()-1576)),"")</f>
        <v>1.0</v>
      </c>
      <c r="B1580" s="114" t="str" cm="1">
        <f t="array" ref="B1580">IFERROR(INDEX('03.Muestra'!$C$8:$C$42,SMALL(IF("Página Web"='03.Muestra'!$D$8:$D$42,ROW('03.Muestra'!$C$8:$C$42)-MIN(ROW('03.Muestra'!$D$8:$D$42))+1,""),ROW()-1576)),"")</f>
        <v>Home - PortCastelló</v>
      </c>
      <c r="C1580" s="114" t="str" cm="1">
        <f t="array" ref="C1580">IFERROR(INDEX('03.Muestra'!$F$8:$F$42,SMALL(IF("Página Web"='03.Muestra'!$D$8:$D$42,ROW('03.Muestra'!$F$8:$F$42)-MIN(ROW('03.Muestra'!$D$8:$D$42))+1,""),ROW()-1576)),"")</f>
        <v>https://www.portcastello.com/</v>
      </c>
      <c r="D1580" s="130" t="str">
        <f t="shared" si="83"/>
        <v>N/T</v>
      </c>
      <c r="E1580" s="107" t="str">
        <f t="shared" si="82"/>
        <v/>
      </c>
      <c r="G1580" s="19"/>
      <c r="H1580" s="19"/>
      <c r="I1580" s="19"/>
      <c r="J1580" s="19"/>
      <c r="K1580" s="233"/>
      <c r="L1580" s="19"/>
    </row>
    <row r="1581" spans="1:12" ht="12" customHeight="1">
      <c r="A1581" s="219" t="n" cm="1">
        <f t="array" ref="A1581">IFERROR(INDEX('03.Muestra'!$B$8:$B$42,SMALL(IF("Página Web"='03.Muestra'!$D$8:$D$42,ROW('03.Muestra'!$B$8:$B$42)-MIN(ROW('03.Muestra'!$D$8:$D$42))+1,""),ROW()-1576)),"")</f>
        <v>1.0</v>
      </c>
      <c r="B1581" s="114" t="str" cm="1">
        <f t="array" ref="B1581">IFERROR(INDEX('03.Muestra'!$C$8:$C$42,SMALL(IF("Página Web"='03.Muestra'!$D$8:$D$42,ROW('03.Muestra'!$C$8:$C$42)-MIN(ROW('03.Muestra'!$D$8:$D$42))+1,""),ROW()-1576)),"")</f>
        <v>Home - PortCastelló</v>
      </c>
      <c r="C1581" s="114" t="str" cm="1">
        <f t="array" ref="C1581">IFERROR(INDEX('03.Muestra'!$F$8:$F$42,SMALL(IF("Página Web"='03.Muestra'!$D$8:$D$42,ROW('03.Muestra'!$F$8:$F$42)-MIN(ROW('03.Muestra'!$D$8:$D$42))+1,""),ROW()-1576)),"")</f>
        <v>https://www.portcastello.com/</v>
      </c>
      <c r="D1581" s="130" t="str">
        <f t="shared" si="83"/>
        <v>N/T</v>
      </c>
      <c r="E1581" s="107" t="str">
        <f t="shared" si="82"/>
        <v/>
      </c>
      <c r="G1581" s="19"/>
      <c r="H1581" s="19"/>
      <c r="I1581" s="19"/>
      <c r="J1581" s="19"/>
      <c r="K1581" s="233"/>
      <c r="L1581" s="19"/>
    </row>
    <row r="1582" spans="1:12" ht="12" customHeight="1">
      <c r="A1582" s="219" t="n" cm="1">
        <f t="array" ref="A1582">IFERROR(INDEX('03.Muestra'!$B$8:$B$42,SMALL(IF("Página Web"='03.Muestra'!$D$8:$D$42,ROW('03.Muestra'!$B$8:$B$42)-MIN(ROW('03.Muestra'!$D$8:$D$42))+1,""),ROW()-1576)),"")</f>
        <v>1.0</v>
      </c>
      <c r="B1582" s="114" t="str" cm="1">
        <f t="array" ref="B1582">IFERROR(INDEX('03.Muestra'!$C$8:$C$42,SMALL(IF("Página Web"='03.Muestra'!$D$8:$D$42,ROW('03.Muestra'!$C$8:$C$42)-MIN(ROW('03.Muestra'!$D$8:$D$42))+1,""),ROW()-1576)),"")</f>
        <v>Home - PortCastelló</v>
      </c>
      <c r="C1582" s="114" t="str" cm="1">
        <f t="array" ref="C1582">IFERROR(INDEX('03.Muestra'!$F$8:$F$42,SMALL(IF("Página Web"='03.Muestra'!$D$8:$D$42,ROW('03.Muestra'!$F$8:$F$42)-MIN(ROW('03.Muestra'!$D$8:$D$42))+1,""),ROW()-1576)),"")</f>
        <v>https://www.portcastello.com/</v>
      </c>
      <c r="D1582" s="130" t="str">
        <f t="shared" si="83"/>
        <v>N/T</v>
      </c>
      <c r="E1582" s="107" t="str">
        <f t="shared" si="82"/>
        <v/>
      </c>
      <c r="G1582" s="19"/>
      <c r="H1582" s="19"/>
      <c r="I1582" s="19"/>
      <c r="J1582" s="19"/>
      <c r="K1582" s="233"/>
      <c r="L1582" s="19"/>
    </row>
    <row r="1583" spans="1:12" ht="12" customHeight="1">
      <c r="A1583" s="219" t="n" cm="1">
        <f t="array" ref="A1583">IFERROR(INDEX('03.Muestra'!$B$8:$B$42,SMALL(IF("Página Web"='03.Muestra'!$D$8:$D$42,ROW('03.Muestra'!$B$8:$B$42)-MIN(ROW('03.Muestra'!$D$8:$D$42))+1,""),ROW()-1576)),"")</f>
        <v>1.0</v>
      </c>
      <c r="B1583" s="114" t="str" cm="1">
        <f t="array" ref="B1583">IFERROR(INDEX('03.Muestra'!$C$8:$C$42,SMALL(IF("Página Web"='03.Muestra'!$D$8:$D$42,ROW('03.Muestra'!$C$8:$C$42)-MIN(ROW('03.Muestra'!$D$8:$D$42))+1,""),ROW()-1576)),"")</f>
        <v>Home - PortCastelló</v>
      </c>
      <c r="C1583" s="114" t="str" cm="1">
        <f t="array" ref="C1583">IFERROR(INDEX('03.Muestra'!$F$8:$F$42,SMALL(IF("Página Web"='03.Muestra'!$D$8:$D$42,ROW('03.Muestra'!$F$8:$F$42)-MIN(ROW('03.Muestra'!$D$8:$D$42))+1,""),ROW()-1576)),"")</f>
        <v>https://www.portcastello.com/</v>
      </c>
      <c r="D1583" s="130" t="str">
        <f t="shared" si="83"/>
        <v>N/T</v>
      </c>
      <c r="E1583" s="107" t="str">
        <f t="shared" si="82"/>
        <v/>
      </c>
      <c r="F1583" s="19"/>
      <c r="G1583" s="19"/>
      <c r="H1583" s="19"/>
      <c r="I1583" s="19"/>
      <c r="J1583" s="19"/>
      <c r="K1583" s="233"/>
      <c r="L1583" s="19"/>
    </row>
    <row r="1584" spans="1:12" ht="12" customHeight="1">
      <c r="A1584" s="219" t="n" cm="1">
        <f t="array" ref="A1584">IFERROR(INDEX('03.Muestra'!$B$8:$B$42,SMALL(IF("Página Web"='03.Muestra'!$D$8:$D$42,ROW('03.Muestra'!$B$8:$B$42)-MIN(ROW('03.Muestra'!$D$8:$D$42))+1,""),ROW()-1576)),"")</f>
        <v>1.0</v>
      </c>
      <c r="B1584" s="114" t="str" cm="1">
        <f t="array" ref="B1584">IFERROR(INDEX('03.Muestra'!$C$8:$C$42,SMALL(IF("Página Web"='03.Muestra'!$D$8:$D$42,ROW('03.Muestra'!$C$8:$C$42)-MIN(ROW('03.Muestra'!$D$8:$D$42))+1,""),ROW()-1576)),"")</f>
        <v>Home - PortCastelló</v>
      </c>
      <c r="C1584" s="114" t="str" cm="1">
        <f t="array" ref="C1584">IFERROR(INDEX('03.Muestra'!$F$8:$F$42,SMALL(IF("Página Web"='03.Muestra'!$D$8:$D$42,ROW('03.Muestra'!$F$8:$F$42)-MIN(ROW('03.Muestra'!$D$8:$D$42))+1,""),ROW()-1576)),"")</f>
        <v>https://www.portcastello.com/</v>
      </c>
      <c r="D1584" s="130" t="str">
        <f t="shared" si="83"/>
        <v>N/T</v>
      </c>
      <c r="E1584" s="107" t="str">
        <f t="shared" si="82"/>
        <v/>
      </c>
      <c r="F1584" s="19"/>
      <c r="G1584" s="19"/>
      <c r="H1584" s="19"/>
      <c r="I1584" s="19"/>
      <c r="J1584" s="19"/>
      <c r="K1584" s="233"/>
      <c r="L1584" s="19"/>
    </row>
    <row r="1585" spans="1:12" ht="12" customHeight="1">
      <c r="A1585" s="219" t="n" cm="1">
        <f t="array" ref="A1585">IFERROR(INDEX('03.Muestra'!$B$8:$B$42,SMALL(IF("Página Web"='03.Muestra'!$D$8:$D$42,ROW('03.Muestra'!$B$8:$B$42)-MIN(ROW('03.Muestra'!$D$8:$D$42))+1,""),ROW()-1576)),"")</f>
        <v>1.0</v>
      </c>
      <c r="B1585" s="114" t="str" cm="1">
        <f t="array" ref="B1585">IFERROR(INDEX('03.Muestra'!$C$8:$C$42,SMALL(IF("Página Web"='03.Muestra'!$D$8:$D$42,ROW('03.Muestra'!$C$8:$C$42)-MIN(ROW('03.Muestra'!$D$8:$D$42))+1,""),ROW()-1576)),"")</f>
        <v>Home - PortCastelló</v>
      </c>
      <c r="C1585" s="114" t="str" cm="1">
        <f t="array" ref="C1585">IFERROR(INDEX('03.Muestra'!$F$8:$F$42,SMALL(IF("Página Web"='03.Muestra'!$D$8:$D$42,ROW('03.Muestra'!$F$8:$F$42)-MIN(ROW('03.Muestra'!$D$8:$D$42))+1,""),ROW()-1576)),"")</f>
        <v>https://www.portcastello.com/</v>
      </c>
      <c r="D1585" s="130" t="str">
        <f t="shared" si="83"/>
        <v>N/T</v>
      </c>
      <c r="E1585" s="107" t="str">
        <f t="shared" si="82"/>
        <v/>
      </c>
      <c r="F1585" s="19"/>
      <c r="G1585" s="19"/>
      <c r="H1585" s="19"/>
      <c r="I1585" s="19"/>
      <c r="J1585" s="19"/>
      <c r="K1585" s="233"/>
      <c r="L1585" s="19"/>
    </row>
    <row r="1586" spans="1:12" ht="12" customHeight="1">
      <c r="A1586" s="219" t="n"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Home - PortCastelló</v>
      </c>
      <c r="C1586" s="114" t="str" cm="1">
        <f t="array" ref="C1586">IFERROR(INDEX('03.Muestra'!$F$8:$F$42,SMALL(IF("Página Web"='03.Muestra'!$D$8:$D$42,ROW('03.Muestra'!$F$8:$F$42)-MIN(ROW('03.Muestra'!$D$8:$D$42))+1,""),ROW()-1576)),"")</f>
        <v>https://www.portcastello.com/</v>
      </c>
      <c r="D1586" s="130" t="str">
        <f t="shared" si="83"/>
        <v>N/T</v>
      </c>
      <c r="E1586" s="107" t="str">
        <f t="shared" si="82"/>
        <v/>
      </c>
      <c r="F1586" s="19"/>
      <c r="G1586" s="19"/>
      <c r="H1586" s="19"/>
      <c r="I1586" s="19"/>
      <c r="J1586" s="19"/>
      <c r="K1586" s="233"/>
      <c r="L1586" s="19"/>
    </row>
    <row r="1587" spans="1:12" ht="12" customHeight="1">
      <c r="A1587" s="219" t="n" cm="1">
        <f t="array" ref="A1587">IFERROR(INDEX('03.Muestra'!$B$8:$B$42,SMALL(IF("Página Web"='03.Muestra'!$D$8:$D$42,ROW('03.Muestra'!$B$8:$B$42)-MIN(ROW('03.Muestra'!$D$8:$D$42))+1,""),ROW()-1576)),"")</f>
        <v>1.0</v>
      </c>
      <c r="B1587" s="114" t="str" cm="1">
        <f t="array" ref="B1587">IFERROR(INDEX('03.Muestra'!$C$8:$C$42,SMALL(IF("Página Web"='03.Muestra'!$D$8:$D$42,ROW('03.Muestra'!$C$8:$C$42)-MIN(ROW('03.Muestra'!$D$8:$D$42))+1,""),ROW()-1576)),"")</f>
        <v>Home - PortCastelló</v>
      </c>
      <c r="C1587" s="114" t="str" cm="1">
        <f t="array" ref="C1587">IFERROR(INDEX('03.Muestra'!$F$8:$F$42,SMALL(IF("Página Web"='03.Muestra'!$D$8:$D$42,ROW('03.Muestra'!$F$8:$F$42)-MIN(ROW('03.Muestra'!$D$8:$D$42))+1,""),ROW()-1576)),"")</f>
        <v>https://www.portcastello.com/</v>
      </c>
      <c r="D1587" s="130" t="str">
        <f t="shared" si="83"/>
        <v>N/T</v>
      </c>
      <c r="E1587" s="107" t="str">
        <f t="shared" si="82"/>
        <v/>
      </c>
      <c r="F1587" s="19"/>
      <c r="G1587" s="19"/>
      <c r="H1587" s="19"/>
      <c r="I1587" s="19"/>
      <c r="J1587" s="19"/>
      <c r="K1587" s="233"/>
      <c r="L1587" s="19"/>
    </row>
    <row r="1588" spans="1:12" ht="12" customHeight="1">
      <c r="A1588" s="219" t="n" cm="1">
        <f t="array" ref="A1588">IFERROR(INDEX('03.Muestra'!$B$8:$B$42,SMALL(IF("Página Web"='03.Muestra'!$D$8:$D$42,ROW('03.Muestra'!$B$8:$B$42)-MIN(ROW('03.Muestra'!$D$8:$D$42))+1,""),ROW()-1576)),"")</f>
        <v>1.0</v>
      </c>
      <c r="B1588" s="114" t="str" cm="1">
        <f t="array" ref="B1588">IFERROR(INDEX('03.Muestra'!$C$8:$C$42,SMALL(IF("Página Web"='03.Muestra'!$D$8:$D$42,ROW('03.Muestra'!$C$8:$C$42)-MIN(ROW('03.Muestra'!$D$8:$D$42))+1,""),ROW()-1576)),"")</f>
        <v>Home - PortCastelló</v>
      </c>
      <c r="C1588" s="114" t="str" cm="1">
        <f t="array" ref="C1588">IFERROR(INDEX('03.Muestra'!$F$8:$F$42,SMALL(IF("Página Web"='03.Muestra'!$D$8:$D$42,ROW('03.Muestra'!$F$8:$F$42)-MIN(ROW('03.Muestra'!$D$8:$D$42))+1,""),ROW()-1576)),"")</f>
        <v>https://www.portcastello.com/</v>
      </c>
      <c r="D1588" s="130" t="str">
        <f t="shared" si="83"/>
        <v>N/T</v>
      </c>
      <c r="E1588" s="107" t="str">
        <f t="shared" si="82"/>
        <v/>
      </c>
      <c r="F1588" s="19"/>
      <c r="G1588" s="19"/>
      <c r="H1588" s="19"/>
      <c r="I1588" s="19"/>
      <c r="J1588" s="19"/>
      <c r="K1588" s="233"/>
      <c r="L1588" s="19"/>
    </row>
    <row r="1589" spans="1:12" ht="12" customHeight="1">
      <c r="A1589" s="219" t="n" cm="1">
        <f t="array" ref="A1589">IFERROR(INDEX('03.Muestra'!$B$8:$B$42,SMALL(IF("Página Web"='03.Muestra'!$D$8:$D$42,ROW('03.Muestra'!$B$8:$B$42)-MIN(ROW('03.Muestra'!$D$8:$D$42))+1,""),ROW()-1576)),"")</f>
        <v>1.0</v>
      </c>
      <c r="B1589" s="114" t="str" cm="1">
        <f t="array" ref="B1589">IFERROR(INDEX('03.Muestra'!$C$8:$C$42,SMALL(IF("Página Web"='03.Muestra'!$D$8:$D$42,ROW('03.Muestra'!$C$8:$C$42)-MIN(ROW('03.Muestra'!$D$8:$D$42))+1,""),ROW()-1576)),"")</f>
        <v>Home - PortCastelló</v>
      </c>
      <c r="C1589" s="114" t="str" cm="1">
        <f t="array" ref="C1589">IFERROR(INDEX('03.Muestra'!$F$8:$F$42,SMALL(IF("Página Web"='03.Muestra'!$D$8:$D$42,ROW('03.Muestra'!$F$8:$F$42)-MIN(ROW('03.Muestra'!$D$8:$D$42))+1,""),ROW()-1576)),"")</f>
        <v>https://www.portcastello.com/</v>
      </c>
      <c r="D1589" s="130" t="str">
        <f t="shared" si="83"/>
        <v>N/T</v>
      </c>
      <c r="E1589" s="107" t="str">
        <f t="shared" si="82"/>
        <v/>
      </c>
      <c r="F1589" s="19"/>
      <c r="G1589" s="19"/>
      <c r="H1589" s="19"/>
      <c r="I1589" s="19"/>
      <c r="J1589" s="19"/>
      <c r="K1589" s="233"/>
      <c r="L1589" s="19"/>
    </row>
    <row r="1590" spans="1:12" ht="12" customHeight="1">
      <c r="A1590" s="219" t="n" cm="1">
        <f t="array" ref="A1590">IFERROR(INDEX('03.Muestra'!$B$8:$B$42,SMALL(IF("Página Web"='03.Muestra'!$D$8:$D$42,ROW('03.Muestra'!$B$8:$B$42)-MIN(ROW('03.Muestra'!$D$8:$D$42))+1,""),ROW()-1576)),"")</f>
        <v>1.0</v>
      </c>
      <c r="B1590" s="114" t="str" cm="1">
        <f t="array" ref="B1590">IFERROR(INDEX('03.Muestra'!$C$8:$C$42,SMALL(IF("Página Web"='03.Muestra'!$D$8:$D$42,ROW('03.Muestra'!$C$8:$C$42)-MIN(ROW('03.Muestra'!$D$8:$D$42))+1,""),ROW()-1576)),"")</f>
        <v>Home - PortCastelló</v>
      </c>
      <c r="C1590" s="114" t="str" cm="1">
        <f t="array" ref="C1590">IFERROR(INDEX('03.Muestra'!$F$8:$F$42,SMALL(IF("Página Web"='03.Muestra'!$D$8:$D$42,ROW('03.Muestra'!$F$8:$F$42)-MIN(ROW('03.Muestra'!$D$8:$D$42))+1,""),ROW()-1576)),"")</f>
        <v>https://www.portcastello.com/</v>
      </c>
      <c r="D1590" s="130" t="str">
        <f t="shared" si="83"/>
        <v>N/T</v>
      </c>
      <c r="E1590" s="107" t="str">
        <f t="shared" si="82"/>
        <v/>
      </c>
      <c r="F1590" s="19"/>
      <c r="G1590" s="19"/>
      <c r="H1590" s="19"/>
      <c r="I1590" s="19"/>
      <c r="J1590" s="19"/>
      <c r="K1590" s="233"/>
      <c r="L1590" s="19"/>
    </row>
    <row r="1591" spans="1:12" ht="12" customHeight="1">
      <c r="A1591" s="219" t="n" cm="1">
        <f t="array" ref="A1591">IFERROR(INDEX('03.Muestra'!$B$8:$B$42,SMALL(IF("Página Web"='03.Muestra'!$D$8:$D$42,ROW('03.Muestra'!$B$8:$B$42)-MIN(ROW('03.Muestra'!$D$8:$D$42))+1,""),ROW()-1576)),"")</f>
        <v>1.0</v>
      </c>
      <c r="B1591" s="114" t="str" cm="1">
        <f t="array" ref="B1591">IFERROR(INDEX('03.Muestra'!$C$8:$C$42,SMALL(IF("Página Web"='03.Muestra'!$D$8:$D$42,ROW('03.Muestra'!$C$8:$C$42)-MIN(ROW('03.Muestra'!$D$8:$D$42))+1,""),ROW()-1576)),"")</f>
        <v>Home - PortCastelló</v>
      </c>
      <c r="C1591" s="114" t="str" cm="1">
        <f t="array" ref="C1591">IFERROR(INDEX('03.Muestra'!$F$8:$F$42,SMALL(IF("Página Web"='03.Muestra'!$D$8:$D$42,ROW('03.Muestra'!$F$8:$F$42)-MIN(ROW('03.Muestra'!$D$8:$D$42))+1,""),ROW()-1576)),"")</f>
        <v>https://www.portcastello.com/</v>
      </c>
      <c r="D1591" s="130" t="str">
        <f t="shared" si="83"/>
        <v>N/T</v>
      </c>
      <c r="E1591" s="107" t="str">
        <f t="shared" si="82"/>
        <v/>
      </c>
      <c r="F1591" s="19"/>
      <c r="G1591" s="19"/>
      <c r="H1591" s="19"/>
      <c r="I1591" s="19"/>
      <c r="J1591" s="19"/>
      <c r="K1591" s="233"/>
      <c r="L1591" s="19"/>
    </row>
    <row r="1592" spans="1:12" ht="12" customHeight="1">
      <c r="A1592" s="219" t="n" cm="1">
        <f t="array" ref="A1592">IFERROR(INDEX('03.Muestra'!$B$8:$B$42,SMALL(IF("Página Web"='03.Muestra'!$D$8:$D$42,ROW('03.Muestra'!$B$8:$B$42)-MIN(ROW('03.Muestra'!$D$8:$D$42))+1,""),ROW()-1576)),"")</f>
        <v>1.0</v>
      </c>
      <c r="B1592" s="114" t="str" cm="1">
        <f t="array" ref="B1592">IFERROR(INDEX('03.Muestra'!$C$8:$C$42,SMALL(IF("Página Web"='03.Muestra'!$D$8:$D$42,ROW('03.Muestra'!$C$8:$C$42)-MIN(ROW('03.Muestra'!$D$8:$D$42))+1,""),ROW()-1576)),"")</f>
        <v>Home - PortCastelló</v>
      </c>
      <c r="C1592" s="114" t="str" cm="1">
        <f t="array" ref="C1592">IFERROR(INDEX('03.Muestra'!$F$8:$F$42,SMALL(IF("Página Web"='03.Muestra'!$D$8:$D$42,ROW('03.Muestra'!$F$8:$F$42)-MIN(ROW('03.Muestra'!$D$8:$D$42))+1,""),ROW()-1576)),"")</f>
        <v>https://www.portcastello.com/</v>
      </c>
      <c r="D1592" s="130" t="str">
        <f t="shared" si="83"/>
        <v>N/T</v>
      </c>
      <c r="E1592" s="107" t="str">
        <f t="shared" si="82"/>
        <v/>
      </c>
      <c r="F1592" s="19"/>
      <c r="G1592" s="19"/>
      <c r="H1592" s="19"/>
      <c r="I1592" s="19"/>
      <c r="J1592" s="19"/>
      <c r="K1592" s="233"/>
      <c r="L1592" s="19"/>
    </row>
    <row r="1593" spans="1:12" ht="12" customHeight="1">
      <c r="A1593" s="219" t="n" cm="1">
        <f t="array" ref="A1593">IFERROR(INDEX('03.Muestra'!$B$8:$B$42,SMALL(IF("Página Web"='03.Muestra'!$D$8:$D$42,ROW('03.Muestra'!$B$8:$B$42)-MIN(ROW('03.Muestra'!$D$8:$D$42))+1,""),ROW()-1576)),"")</f>
        <v>1.0</v>
      </c>
      <c r="B1593" s="114" t="str" cm="1">
        <f t="array" ref="B1593">IFERROR(INDEX('03.Muestra'!$C$8:$C$42,SMALL(IF("Página Web"='03.Muestra'!$D$8:$D$42,ROW('03.Muestra'!$C$8:$C$42)-MIN(ROW('03.Muestra'!$D$8:$D$42))+1,""),ROW()-1576)),"")</f>
        <v>Home - PortCastelló</v>
      </c>
      <c r="C1593" s="114" t="str" cm="1">
        <f t="array" ref="C1593">IFERROR(INDEX('03.Muestra'!$F$8:$F$42,SMALL(IF("Página Web"='03.Muestra'!$D$8:$D$42,ROW('03.Muestra'!$F$8:$F$42)-MIN(ROW('03.Muestra'!$D$8:$D$42))+1,""),ROW()-1576)),"")</f>
        <v>https://www.portcastello.com/</v>
      </c>
      <c r="D1593" s="130" t="str">
        <f t="shared" si="83"/>
        <v>N/T</v>
      </c>
      <c r="E1593" s="107" t="str">
        <f t="shared" si="82"/>
        <v/>
      </c>
      <c r="F1593" s="19"/>
      <c r="G1593" s="19"/>
      <c r="H1593" s="19"/>
      <c r="I1593" s="19"/>
      <c r="J1593" s="19"/>
      <c r="K1593" s="233"/>
      <c r="L1593" s="19"/>
    </row>
    <row r="1594" spans="1:12" ht="12" customHeight="1">
      <c r="A1594" s="219" t="n" cm="1">
        <f t="array" ref="A1594">IFERROR(INDEX('03.Muestra'!$B$8:$B$42,SMALL(IF("Página Web"='03.Muestra'!$D$8:$D$42,ROW('03.Muestra'!$B$8:$B$42)-MIN(ROW('03.Muestra'!$D$8:$D$42))+1,""),ROW()-1576)),"")</f>
        <v>1.0</v>
      </c>
      <c r="B1594" s="114" t="str" cm="1">
        <f t="array" ref="B1594">IFERROR(INDEX('03.Muestra'!$C$8:$C$42,SMALL(IF("Página Web"='03.Muestra'!$D$8:$D$42,ROW('03.Muestra'!$C$8:$C$42)-MIN(ROW('03.Muestra'!$D$8:$D$42))+1,""),ROW()-1576)),"")</f>
        <v>Home - PortCastelló</v>
      </c>
      <c r="C1594" s="114" t="str" cm="1">
        <f t="array" ref="C1594">IFERROR(INDEX('03.Muestra'!$F$8:$F$42,SMALL(IF("Página Web"='03.Muestra'!$D$8:$D$42,ROW('03.Muestra'!$F$8:$F$42)-MIN(ROW('03.Muestra'!$D$8:$D$42))+1,""),ROW()-1576)),"")</f>
        <v>https://www.portcastello.com/</v>
      </c>
      <c r="D1594" s="130" t="str">
        <f t="shared" si="83"/>
        <v>N/T</v>
      </c>
      <c r="E1594" s="107" t="str">
        <f t="shared" si="82"/>
        <v/>
      </c>
      <c r="F1594" s="19"/>
      <c r="G1594" s="19"/>
      <c r="H1594" s="19"/>
      <c r="I1594" s="19"/>
      <c r="J1594" s="19"/>
      <c r="K1594" s="233"/>
      <c r="L1594" s="19"/>
    </row>
    <row r="1595" spans="1:12" ht="12" customHeight="1">
      <c r="A1595" s="219" t="n" cm="1">
        <f t="array" ref="A1595">IFERROR(INDEX('03.Muestra'!$B$8:$B$42,SMALL(IF("Página Web"='03.Muestra'!$D$8:$D$42,ROW('03.Muestra'!$B$8:$B$42)-MIN(ROW('03.Muestra'!$D$8:$D$42))+1,""),ROW()-1576)),"")</f>
        <v>1.0</v>
      </c>
      <c r="B1595" s="114" t="str" cm="1">
        <f t="array" ref="B1595">IFERROR(INDEX('03.Muestra'!$C$8:$C$42,SMALL(IF("Página Web"='03.Muestra'!$D$8:$D$42,ROW('03.Muestra'!$C$8:$C$42)-MIN(ROW('03.Muestra'!$D$8:$D$42))+1,""),ROW()-1576)),"")</f>
        <v>Home - PortCastelló</v>
      </c>
      <c r="C1595" s="114" t="str" cm="1">
        <f t="array" ref="C1595">IFERROR(INDEX('03.Muestra'!$F$8:$F$42,SMALL(IF("Página Web"='03.Muestra'!$D$8:$D$42,ROW('03.Muestra'!$F$8:$F$42)-MIN(ROW('03.Muestra'!$D$8:$D$42))+1,""),ROW()-1576)),"")</f>
        <v>https://www.portcastello.com/</v>
      </c>
      <c r="D1595" s="130" t="str">
        <f t="shared" si="83"/>
        <v>N/T</v>
      </c>
      <c r="E1595" s="107" t="str">
        <f t="shared" si="82"/>
        <v/>
      </c>
      <c r="F1595" s="19"/>
      <c r="G1595" s="19"/>
      <c r="H1595" s="19"/>
      <c r="I1595" s="19"/>
      <c r="J1595" s="19"/>
      <c r="K1595" s="233"/>
      <c r="L1595" s="19"/>
    </row>
    <row r="1596" spans="1:12" ht="12" customHeight="1">
      <c r="A1596" s="219" t="n" cm="1">
        <f t="array" ref="A1596">IFERROR(INDEX('03.Muestra'!$B$8:$B$42,SMALL(IF("Página Web"='03.Muestra'!$D$8:$D$42,ROW('03.Muestra'!$B$8:$B$42)-MIN(ROW('03.Muestra'!$D$8:$D$42))+1,""),ROW()-1576)),"")</f>
        <v>1.0</v>
      </c>
      <c r="B1596" s="114" t="str" cm="1">
        <f t="array" ref="B1596">IFERROR(INDEX('03.Muestra'!$C$8:$C$42,SMALL(IF("Página Web"='03.Muestra'!$D$8:$D$42,ROW('03.Muestra'!$C$8:$C$42)-MIN(ROW('03.Muestra'!$D$8:$D$42))+1,""),ROW()-1576)),"")</f>
        <v>Home - PortCastelló</v>
      </c>
      <c r="C1596" s="114" t="str" cm="1">
        <f t="array" ref="C1596">IFERROR(INDEX('03.Muestra'!$F$8:$F$42,SMALL(IF("Página Web"='03.Muestra'!$D$8:$D$42,ROW('03.Muestra'!$F$8:$F$42)-MIN(ROW('03.Muestra'!$D$8:$D$42))+1,""),ROW()-1576)),"")</f>
        <v>https://www.portcastello.com/</v>
      </c>
      <c r="D1596" s="130" t="str">
        <f t="shared" si="83"/>
        <v>N/T</v>
      </c>
      <c r="E1596" s="107" t="str">
        <f t="shared" si="82"/>
        <v/>
      </c>
      <c r="F1596" s="19"/>
      <c r="G1596" s="19"/>
      <c r="H1596" s="19"/>
      <c r="I1596" s="19"/>
      <c r="J1596" s="19"/>
      <c r="K1596" s="233"/>
      <c r="L1596" s="19"/>
    </row>
    <row r="1597" spans="1:12" ht="12" customHeight="1">
      <c r="A1597" s="219" t="n" cm="1">
        <f t="array" ref="A1597">IFERROR(INDEX('03.Muestra'!$B$8:$B$42,SMALL(IF("Página Web"='03.Muestra'!$D$8:$D$42,ROW('03.Muestra'!$B$8:$B$42)-MIN(ROW('03.Muestra'!$D$8:$D$42))+1,""),ROW()-1576)),"")</f>
        <v>1.0</v>
      </c>
      <c r="B1597" s="114" t="str" cm="1">
        <f t="array" ref="B1597">IFERROR(INDEX('03.Muestra'!$C$8:$C$42,SMALL(IF("Página Web"='03.Muestra'!$D$8:$D$42,ROW('03.Muestra'!$C$8:$C$42)-MIN(ROW('03.Muestra'!$D$8:$D$42))+1,""),ROW()-1576)),"")</f>
        <v>Home - PortCastelló</v>
      </c>
      <c r="C1597" s="114" t="str" cm="1">
        <f t="array" ref="C1597">IFERROR(INDEX('03.Muestra'!$F$8:$F$42,SMALL(IF("Página Web"='03.Muestra'!$D$8:$D$42,ROW('03.Muestra'!$F$8:$F$42)-MIN(ROW('03.Muestra'!$D$8:$D$42))+1,""),ROW()-1576)),"")</f>
        <v>https://www.portcastello.com/</v>
      </c>
      <c r="D1597" s="130" t="str">
        <f t="shared" si="83"/>
        <v>N/T</v>
      </c>
      <c r="E1597" s="107" t="str">
        <f t="shared" si="82"/>
        <v/>
      </c>
      <c r="F1597" s="19"/>
      <c r="G1597" s="19"/>
      <c r="H1597" s="19"/>
      <c r="I1597" s="19"/>
      <c r="J1597" s="19"/>
      <c r="K1597" s="233"/>
      <c r="L1597" s="19"/>
    </row>
    <row r="1598" spans="1:12" ht="12" customHeight="1">
      <c r="A1598" s="219" t="n" cm="1">
        <f t="array" ref="A1598">IFERROR(INDEX('03.Muestra'!$B$8:$B$42,SMALL(IF("Página Web"='03.Muestra'!$D$8:$D$42,ROW('03.Muestra'!$B$8:$B$42)-MIN(ROW('03.Muestra'!$D$8:$D$42))+1,""),ROW()-1576)),"")</f>
        <v>1.0</v>
      </c>
      <c r="B1598" s="114" t="str" cm="1">
        <f t="array" ref="B1598">IFERROR(INDEX('03.Muestra'!$C$8:$C$42,SMALL(IF("Página Web"='03.Muestra'!$D$8:$D$42,ROW('03.Muestra'!$C$8:$C$42)-MIN(ROW('03.Muestra'!$D$8:$D$42))+1,""),ROW()-1576)),"")</f>
        <v>Home - PortCastelló</v>
      </c>
      <c r="C1598" s="114" t="str" cm="1">
        <f t="array" ref="C1598">IFERROR(INDEX('03.Muestra'!$F$8:$F$42,SMALL(IF("Página Web"='03.Muestra'!$D$8:$D$42,ROW('03.Muestra'!$F$8:$F$42)-MIN(ROW('03.Muestra'!$D$8:$D$42))+1,""),ROW()-1576)),"")</f>
        <v>https://www.portcastello.com/</v>
      </c>
      <c r="D1598" s="130" t="str">
        <f t="shared" si="83"/>
        <v>N/T</v>
      </c>
      <c r="E1598" s="107" t="str">
        <f t="shared" si="82"/>
        <v/>
      </c>
      <c r="F1598" s="19"/>
      <c r="G1598" s="19"/>
      <c r="H1598" s="19"/>
      <c r="I1598" s="19"/>
      <c r="J1598" s="19"/>
      <c r="K1598" s="233"/>
      <c r="L1598" s="19"/>
    </row>
    <row r="1599" spans="1:12" ht="12" customHeight="1">
      <c r="A1599" s="219" t="n" cm="1">
        <f t="array" ref="A1599">IFERROR(INDEX('03.Muestra'!$B$8:$B$42,SMALL(IF("Página Web"='03.Muestra'!$D$8:$D$42,ROW('03.Muestra'!$B$8:$B$42)-MIN(ROW('03.Muestra'!$D$8:$D$42))+1,""),ROW()-1576)),"")</f>
        <v>1.0</v>
      </c>
      <c r="B1599" s="114" t="str" cm="1">
        <f t="array" ref="B1599">IFERROR(INDEX('03.Muestra'!$C$8:$C$42,SMALL(IF("Página Web"='03.Muestra'!$D$8:$D$42,ROW('03.Muestra'!$C$8:$C$42)-MIN(ROW('03.Muestra'!$D$8:$D$42))+1,""),ROW()-1576)),"")</f>
        <v>Home - PortCastelló</v>
      </c>
      <c r="C1599" s="114" t="str" cm="1">
        <f t="array" ref="C1599">IFERROR(INDEX('03.Muestra'!$F$8:$F$42,SMALL(IF("Página Web"='03.Muestra'!$D$8:$D$42,ROW('03.Muestra'!$F$8:$F$42)-MIN(ROW('03.Muestra'!$D$8:$D$42))+1,""),ROW()-1576)),"")</f>
        <v>https://www.portcastello.com/</v>
      </c>
      <c r="D1599" s="130" t="str">
        <f t="shared" si="83"/>
        <v>N/T</v>
      </c>
      <c r="E1599" s="107" t="str">
        <f t="shared" si="82"/>
        <v/>
      </c>
      <c r="F1599" s="19"/>
      <c r="G1599" s="19"/>
      <c r="H1599" s="19"/>
      <c r="I1599" s="19"/>
      <c r="J1599" s="19"/>
      <c r="K1599" s="233"/>
      <c r="L1599" s="19"/>
    </row>
    <row r="1600" spans="1:12" ht="12" customHeight="1">
      <c r="A1600" s="219" t="n" cm="1">
        <f t="array" ref="A1600">IFERROR(INDEX('03.Muestra'!$B$8:$B$42,SMALL(IF("Página Web"='03.Muestra'!$D$8:$D$42,ROW('03.Muestra'!$B$8:$B$42)-MIN(ROW('03.Muestra'!$D$8:$D$42))+1,""),ROW()-1576)),"")</f>
        <v>1.0</v>
      </c>
      <c r="B1600" s="114" t="str" cm="1">
        <f t="array" ref="B1600">IFERROR(INDEX('03.Muestra'!$C$8:$C$42,SMALL(IF("Página Web"='03.Muestra'!$D$8:$D$42,ROW('03.Muestra'!$C$8:$C$42)-MIN(ROW('03.Muestra'!$D$8:$D$42))+1,""),ROW()-1576)),"")</f>
        <v>Home - PortCastelló</v>
      </c>
      <c r="C1600" s="114" t="str" cm="1">
        <f t="array" ref="C1600">IFERROR(INDEX('03.Muestra'!$F$8:$F$42,SMALL(IF("Página Web"='03.Muestra'!$D$8:$D$42,ROW('03.Muestra'!$F$8:$F$42)-MIN(ROW('03.Muestra'!$D$8:$D$42))+1,""),ROW()-1576)),"")</f>
        <v>https://www.portcastello.com/</v>
      </c>
      <c r="D1600" s="130" t="str">
        <f t="shared" si="83"/>
        <v>N/T</v>
      </c>
      <c r="E1600" s="107" t="str">
        <f t="shared" si="82"/>
        <v/>
      </c>
      <c r="F1600" s="19"/>
      <c r="G1600" s="19"/>
      <c r="H1600" s="19"/>
      <c r="I1600" s="19"/>
      <c r="J1600" s="19"/>
      <c r="K1600" s="233"/>
      <c r="L1600" s="19"/>
    </row>
    <row r="1601" spans="1:12" ht="12" customHeight="1">
      <c r="A1601" s="219" t="n" cm="1">
        <f t="array" ref="A1601">IFERROR(INDEX('03.Muestra'!$B$8:$B$42,SMALL(IF("Página Web"='03.Muestra'!$D$8:$D$42,ROW('03.Muestra'!$B$8:$B$42)-MIN(ROW('03.Muestra'!$D$8:$D$42))+1,""),ROW()-1576)),"")</f>
        <v>1.0</v>
      </c>
      <c r="B1601" s="114" t="str" cm="1">
        <f t="array" ref="B1601">IFERROR(INDEX('03.Muestra'!$C$8:$C$42,SMALL(IF("Página Web"='03.Muestra'!$D$8:$D$42,ROW('03.Muestra'!$C$8:$C$42)-MIN(ROW('03.Muestra'!$D$8:$D$42))+1,""),ROW()-1576)),"")</f>
        <v>Home - PortCastelló</v>
      </c>
      <c r="C1601" s="114" t="str" cm="1">
        <f t="array" ref="C1601">IFERROR(INDEX('03.Muestra'!$F$8:$F$42,SMALL(IF("Página Web"='03.Muestra'!$D$8:$D$42,ROW('03.Muestra'!$F$8:$F$42)-MIN(ROW('03.Muestra'!$D$8:$D$42))+1,""),ROW()-1576)),"")</f>
        <v>https://www.portcastello.com/</v>
      </c>
      <c r="D1601" s="130" t="str">
        <f t="shared" si="83"/>
        <v>N/T</v>
      </c>
      <c r="E1601" s="107" t="str">
        <f t="shared" si="82"/>
        <v/>
      </c>
      <c r="F1601" s="19"/>
      <c r="G1601" s="19"/>
      <c r="H1601" s="19"/>
      <c r="I1601" s="19"/>
      <c r="J1601" s="19"/>
      <c r="K1601" s="233"/>
      <c r="L1601" s="19"/>
    </row>
    <row r="1602" spans="1:12" ht="12" customHeight="1">
      <c r="A1602" s="219" t="n" cm="1">
        <f t="array" ref="A1602">IFERROR(INDEX('03.Muestra'!$B$8:$B$42,SMALL(IF("Página Web"='03.Muestra'!$D$8:$D$42,ROW('03.Muestra'!$B$8:$B$42)-MIN(ROW('03.Muestra'!$D$8:$D$42))+1,""),ROW()-1576)),"")</f>
        <v>1.0</v>
      </c>
      <c r="B1602" s="114" t="str" cm="1">
        <f t="array" ref="B1602">IFERROR(INDEX('03.Muestra'!$C$8:$C$42,SMALL(IF("Página Web"='03.Muestra'!$D$8:$D$42,ROW('03.Muestra'!$C$8:$C$42)-MIN(ROW('03.Muestra'!$D$8:$D$42))+1,""),ROW()-1576)),"")</f>
        <v>Home - PortCastelló</v>
      </c>
      <c r="C1602" s="114" t="str" cm="1">
        <f t="array" ref="C1602">IFERROR(INDEX('03.Muestra'!$F$8:$F$42,SMALL(IF("Página Web"='03.Muestra'!$D$8:$D$42,ROW('03.Muestra'!$F$8:$F$42)-MIN(ROW('03.Muestra'!$D$8:$D$42))+1,""),ROW()-1576)),"")</f>
        <v>https://www.portcastello.com/</v>
      </c>
      <c r="D1602" s="130" t="str">
        <f t="shared" si="83"/>
        <v>N/T</v>
      </c>
      <c r="E1602" s="107" t="str">
        <f t="shared" si="82"/>
        <v/>
      </c>
      <c r="F1602" s="19"/>
      <c r="G1602" s="19"/>
      <c r="H1602" s="19"/>
      <c r="I1602" s="19"/>
      <c r="J1602" s="19"/>
      <c r="K1602" s="233"/>
      <c r="L1602" s="19"/>
    </row>
    <row r="1603" spans="1:12" ht="12" customHeight="1">
      <c r="A1603" s="219" t="n" cm="1">
        <f t="array" ref="A1603">IFERROR(INDEX('03.Muestra'!$B$8:$B$42,SMALL(IF("Página Web"='03.Muestra'!$D$8:$D$42,ROW('03.Muestra'!$B$8:$B$42)-MIN(ROW('03.Muestra'!$D$8:$D$42))+1,""),ROW()-1576)),"")</f>
        <v>1.0</v>
      </c>
      <c r="B1603" s="114" t="str" cm="1">
        <f t="array" ref="B1603">IFERROR(INDEX('03.Muestra'!$C$8:$C$42,SMALL(IF("Página Web"='03.Muestra'!$D$8:$D$42,ROW('03.Muestra'!$C$8:$C$42)-MIN(ROW('03.Muestra'!$D$8:$D$42))+1,""),ROW()-1576)),"")</f>
        <v>Home - PortCastelló</v>
      </c>
      <c r="C1603" s="114" t="str" cm="1">
        <f t="array" ref="C1603">IFERROR(INDEX('03.Muestra'!$F$8:$F$42,SMALL(IF("Página Web"='03.Muestra'!$D$8:$D$42,ROW('03.Muestra'!$F$8:$F$42)-MIN(ROW('03.Muestra'!$D$8:$D$42))+1,""),ROW()-1576)),"")</f>
        <v>https://www.portcastello.com/</v>
      </c>
      <c r="D1603" s="130" t="str">
        <f t="shared" si="83"/>
        <v>N/T</v>
      </c>
      <c r="E1603" s="107" t="str">
        <f t="shared" si="82"/>
        <v/>
      </c>
      <c r="F1603" s="19"/>
      <c r="G1603" s="19"/>
      <c r="H1603" s="19"/>
      <c r="I1603" s="19"/>
      <c r="J1603" s="19"/>
      <c r="K1603" s="233"/>
      <c r="L1603" s="19"/>
    </row>
    <row r="1604" spans="1:12" ht="12" customHeight="1">
      <c r="A1604" s="219" t="n" cm="1">
        <f t="array" ref="A1604">IFERROR(INDEX('03.Muestra'!$B$8:$B$42,SMALL(IF("Página Web"='03.Muestra'!$D$8:$D$42,ROW('03.Muestra'!$B$8:$B$42)-MIN(ROW('03.Muestra'!$D$8:$D$42))+1,""),ROW()-1576)),"")</f>
        <v>1.0</v>
      </c>
      <c r="B1604" s="114" t="str" cm="1">
        <f t="array" ref="B1604">IFERROR(INDEX('03.Muestra'!$C$8:$C$42,SMALL(IF("Página Web"='03.Muestra'!$D$8:$D$42,ROW('03.Muestra'!$C$8:$C$42)-MIN(ROW('03.Muestra'!$D$8:$D$42))+1,""),ROW()-1576)),"")</f>
        <v>Home - PortCastelló</v>
      </c>
      <c r="C1604" s="114" t="str" cm="1">
        <f t="array" ref="C1604">IFERROR(INDEX('03.Muestra'!$F$8:$F$42,SMALL(IF("Página Web"='03.Muestra'!$D$8:$D$42,ROW('03.Muestra'!$F$8:$F$42)-MIN(ROW('03.Muestra'!$D$8:$D$42))+1,""),ROW()-1576)),"")</f>
        <v>https://www.portcastello.com/</v>
      </c>
      <c r="D1604" s="130" t="str">
        <f t="shared" si="83"/>
        <v>N/T</v>
      </c>
      <c r="E1604" s="107" t="str">
        <f t="shared" si="82"/>
        <v/>
      </c>
      <c r="G1604" s="19"/>
      <c r="H1604" s="19"/>
      <c r="I1604" s="19"/>
      <c r="J1604" s="19"/>
      <c r="K1604" s="233"/>
      <c r="L1604" s="19"/>
    </row>
    <row r="1605" spans="1:12" ht="12" customHeight="1">
      <c r="A1605" s="219" t="n" cm="1">
        <f t="array" ref="A1605">IFERROR(INDEX('03.Muestra'!$B$8:$B$42,SMALL(IF("Página Web"='03.Muestra'!$D$8:$D$42,ROW('03.Muestra'!$B$8:$B$42)-MIN(ROW('03.Muestra'!$D$8:$D$42))+1,""),ROW()-1576)),"")</f>
        <v>1.0</v>
      </c>
      <c r="B1605" s="114" t="str" cm="1">
        <f t="array" ref="B1605">IFERROR(INDEX('03.Muestra'!$C$8:$C$42,SMALL(IF("Página Web"='03.Muestra'!$D$8:$D$42,ROW('03.Muestra'!$C$8:$C$42)-MIN(ROW('03.Muestra'!$D$8:$D$42))+1,""),ROW()-1576)),"")</f>
        <v>Home - PortCastelló</v>
      </c>
      <c r="C1605" s="114" t="str" cm="1">
        <f t="array" ref="C1605">IFERROR(INDEX('03.Muestra'!$F$8:$F$42,SMALL(IF("Página Web"='03.Muestra'!$D$8:$D$42,ROW('03.Muestra'!$F$8:$F$42)-MIN(ROW('03.Muestra'!$D$8:$D$42))+1,""),ROW()-1576)),"")</f>
        <v>https://www.portcastello.com/</v>
      </c>
      <c r="D1605" s="130" t="str">
        <f t="shared" si="83"/>
        <v>N/T</v>
      </c>
      <c r="E1605" s="107" t="str">
        <f t="shared" si="82"/>
        <v/>
      </c>
      <c r="F1605" s="124"/>
      <c r="G1605" s="19"/>
      <c r="H1605" s="19"/>
      <c r="I1605" s="19"/>
      <c r="J1605" s="19"/>
      <c r="K1605" s="233"/>
      <c r="L1605" s="19"/>
    </row>
    <row r="1606" spans="1:12" ht="12" customHeight="1">
      <c r="A1606" s="219" t="n" cm="1">
        <f t="array" ref="A1606">IFERROR(INDEX('03.Muestra'!$B$8:$B$42,SMALL(IF("Página Web"='03.Muestra'!$D$8:$D$42,ROW('03.Muestra'!$B$8:$B$42)-MIN(ROW('03.Muestra'!$D$8:$D$42))+1,""),ROW()-1576)),"")</f>
        <v>1.0</v>
      </c>
      <c r="B1606" s="114" t="str" cm="1">
        <f t="array" ref="B1606">IFERROR(INDEX('03.Muestra'!$C$8:$C$42,SMALL(IF("Página Web"='03.Muestra'!$D$8:$D$42,ROW('03.Muestra'!$C$8:$C$42)-MIN(ROW('03.Muestra'!$D$8:$D$42))+1,""),ROW()-1576)),"")</f>
        <v>Home - PortCastelló</v>
      </c>
      <c r="C1606" s="114" t="str" cm="1">
        <f t="array" ref="C1606">IFERROR(INDEX('03.Muestra'!$F$8:$F$42,SMALL(IF("Página Web"='03.Muestra'!$D$8:$D$42,ROW('03.Muestra'!$F$8:$F$42)-MIN(ROW('03.Muestra'!$D$8:$D$42))+1,""),ROW()-1576)),"")</f>
        <v>https://www.portcastello.com/</v>
      </c>
      <c r="D1606" s="130" t="str">
        <f t="shared" si="83"/>
        <v>N/T</v>
      </c>
      <c r="E1606" s="107" t="str">
        <f t="shared" si="82"/>
        <v/>
      </c>
      <c r="F1606" s="124"/>
      <c r="G1606" s="19"/>
      <c r="H1606" s="19"/>
      <c r="I1606" s="19"/>
      <c r="J1606" s="19"/>
      <c r="K1606" s="233"/>
      <c r="L1606" s="19"/>
    </row>
    <row r="1607" spans="1:12" ht="12" customHeight="1">
      <c r="A1607" s="219" t="n" cm="1">
        <f t="array" ref="A1607">IFERROR(INDEX('03.Muestra'!$B$8:$B$42,SMALL(IF("Página Web"='03.Muestra'!$D$8:$D$42,ROW('03.Muestra'!$B$8:$B$42)-MIN(ROW('03.Muestra'!$D$8:$D$42))+1,""),ROW()-1576)),"")</f>
        <v>1.0</v>
      </c>
      <c r="B1607" s="114" t="str" cm="1">
        <f t="array" ref="B1607">IFERROR(INDEX('03.Muestra'!$C$8:$C$42,SMALL(IF("Página Web"='03.Muestra'!$D$8:$D$42,ROW('03.Muestra'!$C$8:$C$42)-MIN(ROW('03.Muestra'!$D$8:$D$42))+1,""),ROW()-1576)),"")</f>
        <v>Home - PortCastelló</v>
      </c>
      <c r="C1607" s="114" t="str" cm="1">
        <f t="array" ref="C1607">IFERROR(INDEX('03.Muestra'!$F$8:$F$42,SMALL(IF("Página Web"='03.Muestra'!$D$8:$D$42,ROW('03.Muestra'!$F$8:$F$42)-MIN(ROW('03.Muestra'!$D$8:$D$42))+1,""),ROW()-1576)),"")</f>
        <v>https://www.portcastello.com/</v>
      </c>
      <c r="D1607" s="130" t="str">
        <f t="shared" si="83"/>
        <v>N/T</v>
      </c>
      <c r="E1607" s="107" t="str">
        <f t="shared" si="82"/>
        <v/>
      </c>
      <c r="F1607" s="124"/>
      <c r="G1607" s="19"/>
      <c r="H1607" s="19"/>
      <c r="I1607" s="19"/>
      <c r="J1607" s="19"/>
      <c r="K1607" s="233"/>
      <c r="L1607" s="19"/>
    </row>
    <row r="1608" spans="1:12" ht="12" customHeight="1">
      <c r="A1608" s="219" t="n" cm="1">
        <f t="array" ref="A1608">IFERROR(INDEX('03.Muestra'!$B$8:$B$42,SMALL(IF("Página Web"='03.Muestra'!$D$8:$D$42,ROW('03.Muestra'!$B$8:$B$42)-MIN(ROW('03.Muestra'!$D$8:$D$42))+1,""),ROW()-1576)),"")</f>
        <v>1.0</v>
      </c>
      <c r="B1608" s="114" t="str" cm="1">
        <f t="array" ref="B1608">IFERROR(INDEX('03.Muestra'!$C$8:$C$42,SMALL(IF("Página Web"='03.Muestra'!$D$8:$D$42,ROW('03.Muestra'!$C$8:$C$42)-MIN(ROW('03.Muestra'!$D$8:$D$42))+1,""),ROW()-1576)),"")</f>
        <v>Home - PortCastelló</v>
      </c>
      <c r="C1608" s="114" t="str" cm="1">
        <f t="array" ref="C1608">IFERROR(INDEX('03.Muestra'!$F$8:$F$42,SMALL(IF("Página Web"='03.Muestra'!$D$8:$D$42,ROW('03.Muestra'!$F$8:$F$42)-MIN(ROW('03.Muestra'!$D$8:$D$42))+1,""),ROW()-1576)),"")</f>
        <v>https://www.portcastello.com/</v>
      </c>
      <c r="D1608" s="130" t="str">
        <f t="shared" si="83"/>
        <v>N/T</v>
      </c>
      <c r="E1608" s="107" t="str">
        <f t="shared" si="82"/>
        <v/>
      </c>
      <c r="F1608" s="124"/>
      <c r="G1608" s="19"/>
      <c r="H1608" s="19"/>
      <c r="I1608" s="19"/>
      <c r="J1608" s="19"/>
      <c r="K1608" s="233"/>
      <c r="L1608" s="19"/>
    </row>
    <row r="1609" spans="1:12" ht="12" customHeight="1">
      <c r="A1609" s="219" t="n" cm="1">
        <f t="array" ref="A1609">IFERROR(INDEX('03.Muestra'!$B$8:$B$42,SMALL(IF("Página Web"='03.Muestra'!$D$8:$D$42,ROW('03.Muestra'!$B$8:$B$42)-MIN(ROW('03.Muestra'!$D$8:$D$42))+1,""),ROW()-1576)),"")</f>
        <v>1.0</v>
      </c>
      <c r="B1609" s="114" t="str" cm="1">
        <f t="array" ref="B1609">IFERROR(INDEX('03.Muestra'!$C$8:$C$42,SMALL(IF("Página Web"='03.Muestra'!$D$8:$D$42,ROW('03.Muestra'!$C$8:$C$42)-MIN(ROW('03.Muestra'!$D$8:$D$42))+1,""),ROW()-1576)),"")</f>
        <v>Home - PortCastelló</v>
      </c>
      <c r="C1609" s="114" t="str" cm="1">
        <f t="array" ref="C1609">IFERROR(INDEX('03.Muestra'!$F$8:$F$42,SMALL(IF("Página Web"='03.Muestra'!$D$8:$D$42,ROW('03.Muestra'!$F$8:$F$42)-MIN(ROW('03.Muestra'!$D$8:$D$42))+1,""),ROW()-1576)),"")</f>
        <v>https://www.portcastello.com/</v>
      </c>
      <c r="D1609" s="130" t="str">
        <f t="shared" si="83"/>
        <v>N/T</v>
      </c>
      <c r="E1609" s="107" t="str">
        <f t="shared" si="82"/>
        <v/>
      </c>
      <c r="F1609" s="124"/>
      <c r="G1609" s="19"/>
      <c r="H1609" s="19"/>
      <c r="I1609" s="19"/>
      <c r="J1609" s="19"/>
      <c r="K1609" s="233"/>
      <c r="L1609" s="19"/>
    </row>
    <row r="1610" spans="1:12" ht="12" customHeight="1">
      <c r="A1610" s="219" t="str" cm="1">
        <f t="array" ref="A1610">IFERROR(INDEX('03.Muestra'!$B$8:$B$42,SMALL(IF("Página Web"='03.Muestra'!$D$8:$D$42,ROW('03.Muestra'!$B$8:$B$42)-MIN(ROW('03.Muestra'!$D$8:$D$42))+1,""),ROW()-1576)),"")</f>
        <v/>
      </c>
      <c r="B1610" s="114" t="str" cm="1">
        <f t="array" ref="B1610">IFERROR(INDEX('03.Muestra'!$C$8:$C$42,SMALL(IF("Página Web"='03.Muestra'!$D$8:$D$42,ROW('03.Muestra'!$C$8:$C$42)-MIN(ROW('03.Muestra'!$D$8:$D$42))+1,""),ROW()-1576)),"")</f>
        <v/>
      </c>
      <c r="C1610" s="114" t="str" cm="1">
        <f t="array" ref="C1610">IFERROR(INDEX('03.Muestra'!$F$8:$F$42,SMALL(IF("Página Web"='03.Muestra'!$D$8:$D$42,ROW('03.Muestra'!$F$8:$F$42)-MIN(ROW('03.Muestra'!$D$8:$D$42))+1,""),ROW()-1576)),"")</f>
        <v/>
      </c>
      <c r="D1610" s="130" t="str">
        <f t="shared" si="83"/>
        <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268</v>
      </c>
      <c r="B1614" s="24" t="s">
        <v>90</v>
      </c>
      <c r="C1614" s="25" t="s">
        <v>415</v>
      </c>
      <c r="D1614" s="26" t="s">
        <v>32</v>
      </c>
      <c r="E1614" s="123"/>
      <c r="K1614" s="233"/>
      <c r="L1614" s="19"/>
    </row>
    <row r="1615" spans="1:12" ht="12" customHeight="1">
      <c r="A1615" s="219" t="n" cm="1">
        <f t="array" ref="A1615">IFERROR(INDEX('03.Muestra'!$B$8:$B$42,SMALL(IF("Página Web"='03.Muestra'!$D$8:$D$42,ROW('03.Muestra'!$B$8:$B$42)-MIN(ROW('03.Muestra'!$D$8:$D$42))+1,""),ROW()-1614)),"")</f>
        <v>1.0</v>
      </c>
      <c r="B1615" s="114" t="str" cm="1">
        <f t="array" ref="B1615">IFERROR(INDEX('03.Muestra'!$C$8:$C$42,SMALL(IF("Página Web"='03.Muestra'!$D$8:$D$42,ROW('03.Muestra'!$C$8:$C$42)-MIN(ROW('03.Muestra'!$D$8:$D$42))+1,""),ROW()-1614)),"")</f>
        <v>Home - PortCastelló</v>
      </c>
      <c r="C1615" s="114" t="str" cm="1">
        <f t="array" ref="C1615">IFERROR(INDEX('03.Muestra'!$F$8:$F$42,SMALL(IF("Página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2" customHeight="1">
      <c r="A1616" s="219" t="n" cm="1">
        <f t="array" ref="A1616">IFERROR(INDEX('03.Muestra'!$B$8:$B$42,SMALL(IF("Página Web"='03.Muestra'!$D$8:$D$42,ROW('03.Muestra'!$B$8:$B$42)-MIN(ROW('03.Muestra'!$D$8:$D$42))+1,""),ROW()-1614)),"")</f>
        <v>1.0</v>
      </c>
      <c r="B1616" s="114" t="str" cm="1">
        <f t="array" ref="B1616">IFERROR(INDEX('03.Muestra'!$C$8:$C$42,SMALL(IF("Página Web"='03.Muestra'!$D$8:$D$42,ROW('03.Muestra'!$C$8:$C$42)-MIN(ROW('03.Muestra'!$D$8:$D$42))+1,""),ROW()-1614)),"")</f>
        <v>Home - PortCastelló</v>
      </c>
      <c r="C1616" s="114" t="str" cm="1">
        <f t="array" ref="C1616">IFERROR(INDEX('03.Muestra'!$F$8:$F$42,SMALL(IF("Página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33.0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IF(COUNTIF('03.Muestra'!$D$8:$D$42,"Página Web")=0,0,COUNTBLANK($D1615:INDIRECT("$D" &amp;  SUM(ROW()-1,COUNTIF('03.Muestra'!$D$8:$D$42,"Página Web"))-1)))</f>
        <v>0.0</v>
      </c>
      <c r="L1616" s="19"/>
    </row>
    <row r="1617" spans="1:11" ht="12" customHeight="1">
      <c r="A1617" s="219" t="n" cm="1">
        <f t="array" ref="A1617">IFERROR(INDEX('03.Muestra'!$B$8:$B$42,SMALL(IF("Página Web"='03.Muestra'!$D$8:$D$42,ROW('03.Muestra'!$B$8:$B$42)-MIN(ROW('03.Muestra'!$D$8:$D$42))+1,""),ROW()-1614)),"")</f>
        <v>1.0</v>
      </c>
      <c r="B1617" s="114" t="str" cm="1">
        <f t="array" ref="B1617">IFERROR(INDEX('03.Muestra'!$C$8:$C$42,SMALL(IF("Página Web"='03.Muestra'!$D$8:$D$42,ROW('03.Muestra'!$C$8:$C$42)-MIN(ROW('03.Muestra'!$D$8:$D$42))+1,""),ROW()-1614)),"")</f>
        <v>Home - PortCastelló</v>
      </c>
      <c r="C1617" s="114" t="str" cm="1">
        <f t="array" ref="C1617">IFERROR(INDEX('03.Muestra'!$F$8:$F$42,SMALL(IF("Página Web"='03.Muestra'!$D$8:$D$42,ROW('03.Muestra'!$F$8:$F$42)-MIN(ROW('03.Muestra'!$D$8:$D$42))+1,""),ROW()-1614)),"")</f>
        <v>https://www.portcastello.com/</v>
      </c>
      <c r="D1617" s="130" t="str">
        <f t="shared" si="85"/>
        <v>N/T</v>
      </c>
      <c r="E1617" s="107" t="str">
        <f t="shared" si="84"/>
        <v/>
      </c>
      <c r="K1617" s="233"/>
    </row>
    <row r="1618" spans="1:11" ht="12" customHeight="1">
      <c r="A1618" s="219" t="n" cm="1">
        <f t="array" ref="A1618">IFERROR(INDEX('03.Muestra'!$B$8:$B$42,SMALL(IF("Página Web"='03.Muestra'!$D$8:$D$42,ROW('03.Muestra'!$B$8:$B$42)-MIN(ROW('03.Muestra'!$D$8:$D$42))+1,""),ROW()-1614)),"")</f>
        <v>1.0</v>
      </c>
      <c r="B1618" s="114" t="str" cm="1">
        <f t="array" ref="B1618">IFERROR(INDEX('03.Muestra'!$C$8:$C$42,SMALL(IF("Página Web"='03.Muestra'!$D$8:$D$42,ROW('03.Muestra'!$C$8:$C$42)-MIN(ROW('03.Muestra'!$D$8:$D$42))+1,""),ROW()-1614)),"")</f>
        <v>Home - PortCastelló</v>
      </c>
      <c r="C1618" s="114" t="str" cm="1">
        <f t="array" ref="C1618">IFERROR(INDEX('03.Muestra'!$F$8:$F$42,SMALL(IF("Página Web"='03.Muestra'!$D$8:$D$42,ROW('03.Muestra'!$F$8:$F$42)-MIN(ROW('03.Muestra'!$D$8:$D$42))+1,""),ROW()-1614)),"")</f>
        <v>https://www.portcastello.com/</v>
      </c>
      <c r="D1618" s="130" t="str">
        <f t="shared" si="85"/>
        <v>N/T</v>
      </c>
      <c r="E1618" s="107" t="str">
        <f t="shared" si="84"/>
        <v/>
      </c>
      <c r="G1618" s="19"/>
      <c r="H1618" s="19"/>
      <c r="I1618" s="19"/>
      <c r="J1618" s="19"/>
      <c r="K1618" s="233"/>
    </row>
    <row r="1619" spans="1:11" ht="12" customHeight="1">
      <c r="A1619" s="219" t="n" cm="1">
        <f t="array" ref="A1619">IFERROR(INDEX('03.Muestra'!$B$8:$B$42,SMALL(IF("Página Web"='03.Muestra'!$D$8:$D$42,ROW('03.Muestra'!$B$8:$B$42)-MIN(ROW('03.Muestra'!$D$8:$D$42))+1,""),ROW()-1614)),"")</f>
        <v>1.0</v>
      </c>
      <c r="B1619" s="114" t="str" cm="1">
        <f t="array" ref="B1619">IFERROR(INDEX('03.Muestra'!$C$8:$C$42,SMALL(IF("Página Web"='03.Muestra'!$D$8:$D$42,ROW('03.Muestra'!$C$8:$C$42)-MIN(ROW('03.Muestra'!$D$8:$D$42))+1,""),ROW()-1614)),"")</f>
        <v>Home - PortCastelló</v>
      </c>
      <c r="C1619" s="114" t="str" cm="1">
        <f t="array" ref="C1619">IFERROR(INDEX('03.Muestra'!$F$8:$F$42,SMALL(IF("Página Web"='03.Muestra'!$D$8:$D$42,ROW('03.Muestra'!$F$8:$F$42)-MIN(ROW('03.Muestra'!$D$8:$D$42))+1,""),ROW()-1614)),"")</f>
        <v>https://www.portcastello.com/</v>
      </c>
      <c r="D1619" s="130" t="str">
        <f t="shared" si="85"/>
        <v>N/T</v>
      </c>
      <c r="E1619" s="107" t="str">
        <f t="shared" si="84"/>
        <v/>
      </c>
      <c r="G1619" s="19"/>
      <c r="H1619" s="19"/>
      <c r="I1619" s="19"/>
      <c r="J1619" s="19"/>
      <c r="K1619" s="233"/>
    </row>
    <row r="1620" spans="1:11" ht="12" customHeight="1">
      <c r="A1620" s="219" t="n" cm="1">
        <f t="array" ref="A1620">IFERROR(INDEX('03.Muestra'!$B$8:$B$42,SMALL(IF("Página Web"='03.Muestra'!$D$8:$D$42,ROW('03.Muestra'!$B$8:$B$42)-MIN(ROW('03.Muestra'!$D$8:$D$42))+1,""),ROW()-1614)),"")</f>
        <v>1.0</v>
      </c>
      <c r="B1620" s="114" t="str" cm="1">
        <f t="array" ref="B1620">IFERROR(INDEX('03.Muestra'!$C$8:$C$42,SMALL(IF("Página Web"='03.Muestra'!$D$8:$D$42,ROW('03.Muestra'!$C$8:$C$42)-MIN(ROW('03.Muestra'!$D$8:$D$42))+1,""),ROW()-1614)),"")</f>
        <v>Home - PortCastelló</v>
      </c>
      <c r="C1620" s="114" t="str" cm="1">
        <f t="array" ref="C1620">IFERROR(INDEX('03.Muestra'!$F$8:$F$42,SMALL(IF("Página Web"='03.Muestra'!$D$8:$D$42,ROW('03.Muestra'!$F$8:$F$42)-MIN(ROW('03.Muestra'!$D$8:$D$42))+1,""),ROW()-1614)),"")</f>
        <v>https://www.portcastello.com/</v>
      </c>
      <c r="D1620" s="130" t="str">
        <f t="shared" si="85"/>
        <v>N/T</v>
      </c>
      <c r="E1620" s="107" t="str">
        <f t="shared" si="84"/>
        <v/>
      </c>
      <c r="G1620" s="19"/>
      <c r="H1620" s="19"/>
      <c r="I1620" s="19"/>
      <c r="J1620" s="19"/>
      <c r="K1620" s="233"/>
    </row>
    <row r="1621" spans="1:11" ht="12" customHeight="1">
      <c r="A1621" s="219" t="n" cm="1">
        <f t="array" ref="A1621">IFERROR(INDEX('03.Muestra'!$B$8:$B$42,SMALL(IF("Página Web"='03.Muestra'!$D$8:$D$42,ROW('03.Muestra'!$B$8:$B$42)-MIN(ROW('03.Muestra'!$D$8:$D$42))+1,""),ROW()-1614)),"")</f>
        <v>1.0</v>
      </c>
      <c r="B1621" s="114" t="str" cm="1">
        <f t="array" ref="B1621">IFERROR(INDEX('03.Muestra'!$C$8:$C$42,SMALL(IF("Página Web"='03.Muestra'!$D$8:$D$42,ROW('03.Muestra'!$C$8:$C$42)-MIN(ROW('03.Muestra'!$D$8:$D$42))+1,""),ROW()-1614)),"")</f>
        <v>Home - PortCastelló</v>
      </c>
      <c r="C1621" s="114" t="str" cm="1">
        <f t="array" ref="C1621">IFERROR(INDEX('03.Muestra'!$F$8:$F$42,SMALL(IF("Página Web"='03.Muestra'!$D$8:$D$42,ROW('03.Muestra'!$F$8:$F$42)-MIN(ROW('03.Muestra'!$D$8:$D$42))+1,""),ROW()-1614)),"")</f>
        <v>https://www.portcastello.com/</v>
      </c>
      <c r="D1621" s="130" t="str">
        <f t="shared" si="85"/>
        <v>N/T</v>
      </c>
      <c r="E1621" s="107" t="str">
        <f t="shared" si="84"/>
        <v/>
      </c>
      <c r="F1621" s="19"/>
      <c r="G1621" s="19"/>
      <c r="H1621" s="19"/>
      <c r="I1621" s="19"/>
      <c r="J1621" s="19"/>
      <c r="K1621" s="233"/>
    </row>
    <row r="1622" spans="1:11" ht="12" customHeight="1">
      <c r="A1622" s="219" t="n" cm="1">
        <f t="array" ref="A1622">IFERROR(INDEX('03.Muestra'!$B$8:$B$42,SMALL(IF("Página Web"='03.Muestra'!$D$8:$D$42,ROW('03.Muestra'!$B$8:$B$42)-MIN(ROW('03.Muestra'!$D$8:$D$42))+1,""),ROW()-1614)),"")</f>
        <v>1.0</v>
      </c>
      <c r="B1622" s="114" t="str" cm="1">
        <f t="array" ref="B1622">IFERROR(INDEX('03.Muestra'!$C$8:$C$42,SMALL(IF("Página Web"='03.Muestra'!$D$8:$D$42,ROW('03.Muestra'!$C$8:$C$42)-MIN(ROW('03.Muestra'!$D$8:$D$42))+1,""),ROW()-1614)),"")</f>
        <v>Home - PortCastelló</v>
      </c>
      <c r="C1622" s="114" t="str" cm="1">
        <f t="array" ref="C1622">IFERROR(INDEX('03.Muestra'!$F$8:$F$42,SMALL(IF("Página Web"='03.Muestra'!$D$8:$D$42,ROW('03.Muestra'!$F$8:$F$42)-MIN(ROW('03.Muestra'!$D$8:$D$42))+1,""),ROW()-1614)),"")</f>
        <v>https://www.portcastello.com/</v>
      </c>
      <c r="D1622" s="130" t="str">
        <f t="shared" si="85"/>
        <v>N/T</v>
      </c>
      <c r="E1622" s="107" t="str">
        <f t="shared" si="84"/>
        <v/>
      </c>
      <c r="F1622" s="19"/>
      <c r="G1622" s="19"/>
      <c r="H1622" s="19"/>
      <c r="I1622" s="19"/>
      <c r="J1622" s="19"/>
      <c r="K1622" s="233"/>
    </row>
    <row r="1623" spans="1:11" ht="12" customHeight="1">
      <c r="A1623" s="219" t="n" cm="1">
        <f t="array" ref="A1623">IFERROR(INDEX('03.Muestra'!$B$8:$B$42,SMALL(IF("Página Web"='03.Muestra'!$D$8:$D$42,ROW('03.Muestra'!$B$8:$B$42)-MIN(ROW('03.Muestra'!$D$8:$D$42))+1,""),ROW()-1614)),"")</f>
        <v>1.0</v>
      </c>
      <c r="B1623" s="114" t="str" cm="1">
        <f t="array" ref="B1623">IFERROR(INDEX('03.Muestra'!$C$8:$C$42,SMALL(IF("Página Web"='03.Muestra'!$D$8:$D$42,ROW('03.Muestra'!$C$8:$C$42)-MIN(ROW('03.Muestra'!$D$8:$D$42))+1,""),ROW()-1614)),"")</f>
        <v>Home - PortCastelló</v>
      </c>
      <c r="C1623" s="114" t="str" cm="1">
        <f t="array" ref="C1623">IFERROR(INDEX('03.Muestra'!$F$8:$F$42,SMALL(IF("Página Web"='03.Muestra'!$D$8:$D$42,ROW('03.Muestra'!$F$8:$F$42)-MIN(ROW('03.Muestra'!$D$8:$D$42))+1,""),ROW()-1614)),"")</f>
        <v>https://www.portcastello.com/</v>
      </c>
      <c r="D1623" s="130" t="str">
        <f t="shared" si="85"/>
        <v>N/T</v>
      </c>
      <c r="E1623" s="107" t="str">
        <f t="shared" si="84"/>
        <v/>
      </c>
      <c r="F1623" s="19"/>
      <c r="G1623" s="19"/>
      <c r="H1623" s="19"/>
      <c r="I1623" s="19"/>
      <c r="J1623" s="19"/>
      <c r="K1623" s="233"/>
    </row>
    <row r="1624" spans="1:11" ht="12" customHeight="1">
      <c r="A1624" s="219" t="n"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Home - PortCastelló</v>
      </c>
      <c r="C1624" s="114" t="str" cm="1">
        <f t="array" ref="C1624">IFERROR(INDEX('03.Muestra'!$F$8:$F$42,SMALL(IF("Página Web"='03.Muestra'!$D$8:$D$42,ROW('03.Muestra'!$F$8:$F$42)-MIN(ROW('03.Muestra'!$D$8:$D$42))+1,""),ROW()-1614)),"")</f>
        <v>https://www.portcastello.com/</v>
      </c>
      <c r="D1624" s="130" t="str">
        <f t="shared" si="85"/>
        <v>N/T</v>
      </c>
      <c r="E1624" s="107" t="str">
        <f t="shared" si="84"/>
        <v/>
      </c>
      <c r="F1624" s="19"/>
      <c r="G1624" s="19"/>
      <c r="H1624" s="19"/>
      <c r="I1624" s="19"/>
      <c r="J1624" s="19"/>
      <c r="K1624" s="233"/>
    </row>
    <row r="1625" spans="1:11" ht="12" customHeight="1">
      <c r="A1625" s="219" t="n" cm="1">
        <f t="array" ref="A1625">IFERROR(INDEX('03.Muestra'!$B$8:$B$42,SMALL(IF("Página Web"='03.Muestra'!$D$8:$D$42,ROW('03.Muestra'!$B$8:$B$42)-MIN(ROW('03.Muestra'!$D$8:$D$42))+1,""),ROW()-1614)),"")</f>
        <v>1.0</v>
      </c>
      <c r="B1625" s="114" t="str" cm="1">
        <f t="array" ref="B1625">IFERROR(INDEX('03.Muestra'!$C$8:$C$42,SMALL(IF("Página Web"='03.Muestra'!$D$8:$D$42,ROW('03.Muestra'!$C$8:$C$42)-MIN(ROW('03.Muestra'!$D$8:$D$42))+1,""),ROW()-1614)),"")</f>
        <v>Home - PortCastelló</v>
      </c>
      <c r="C1625" s="114" t="str" cm="1">
        <f t="array" ref="C1625">IFERROR(INDEX('03.Muestra'!$F$8:$F$42,SMALL(IF("Página Web"='03.Muestra'!$D$8:$D$42,ROW('03.Muestra'!$F$8:$F$42)-MIN(ROW('03.Muestra'!$D$8:$D$42))+1,""),ROW()-1614)),"")</f>
        <v>https://www.portcastello.com/</v>
      </c>
      <c r="D1625" s="130" t="str">
        <f t="shared" si="85"/>
        <v>N/T</v>
      </c>
      <c r="E1625" s="107" t="str">
        <f t="shared" si="84"/>
        <v/>
      </c>
      <c r="F1625" s="19"/>
      <c r="G1625" s="19"/>
      <c r="H1625" s="19"/>
      <c r="I1625" s="19"/>
      <c r="J1625" s="19"/>
      <c r="K1625" s="233"/>
    </row>
    <row r="1626" spans="1:11" ht="12" customHeight="1">
      <c r="A1626" s="219" t="n" cm="1">
        <f t="array" ref="A1626">IFERROR(INDEX('03.Muestra'!$B$8:$B$42,SMALL(IF("Página Web"='03.Muestra'!$D$8:$D$42,ROW('03.Muestra'!$B$8:$B$42)-MIN(ROW('03.Muestra'!$D$8:$D$42))+1,""),ROW()-1614)),"")</f>
        <v>1.0</v>
      </c>
      <c r="B1626" s="114" t="str" cm="1">
        <f t="array" ref="B1626">IFERROR(INDEX('03.Muestra'!$C$8:$C$42,SMALL(IF("Página Web"='03.Muestra'!$D$8:$D$42,ROW('03.Muestra'!$C$8:$C$42)-MIN(ROW('03.Muestra'!$D$8:$D$42))+1,""),ROW()-1614)),"")</f>
        <v>Home - PortCastelló</v>
      </c>
      <c r="C1626" s="114" t="str" cm="1">
        <f t="array" ref="C1626">IFERROR(INDEX('03.Muestra'!$F$8:$F$42,SMALL(IF("Página Web"='03.Muestra'!$D$8:$D$42,ROW('03.Muestra'!$F$8:$F$42)-MIN(ROW('03.Muestra'!$D$8:$D$42))+1,""),ROW()-1614)),"")</f>
        <v>https://www.portcastello.com/</v>
      </c>
      <c r="D1626" s="130" t="str">
        <f t="shared" si="85"/>
        <v>N/T</v>
      </c>
      <c r="E1626" s="107" t="str">
        <f t="shared" si="84"/>
        <v/>
      </c>
      <c r="F1626" s="19"/>
      <c r="G1626" s="19"/>
      <c r="H1626" s="19"/>
      <c r="I1626" s="19"/>
      <c r="J1626" s="19"/>
      <c r="K1626" s="233"/>
    </row>
    <row r="1627" spans="1:11" ht="12" customHeight="1">
      <c r="A1627" s="219" t="n" cm="1">
        <f t="array" ref="A1627">IFERROR(INDEX('03.Muestra'!$B$8:$B$42,SMALL(IF("Página Web"='03.Muestra'!$D$8:$D$42,ROW('03.Muestra'!$B$8:$B$42)-MIN(ROW('03.Muestra'!$D$8:$D$42))+1,""),ROW()-1614)),"")</f>
        <v>1.0</v>
      </c>
      <c r="B1627" s="114" t="str" cm="1">
        <f t="array" ref="B1627">IFERROR(INDEX('03.Muestra'!$C$8:$C$42,SMALL(IF("Página Web"='03.Muestra'!$D$8:$D$42,ROW('03.Muestra'!$C$8:$C$42)-MIN(ROW('03.Muestra'!$D$8:$D$42))+1,""),ROW()-1614)),"")</f>
        <v>Home - PortCastelló</v>
      </c>
      <c r="C1627" s="114" t="str" cm="1">
        <f t="array" ref="C1627">IFERROR(INDEX('03.Muestra'!$F$8:$F$42,SMALL(IF("Página Web"='03.Muestra'!$D$8:$D$42,ROW('03.Muestra'!$F$8:$F$42)-MIN(ROW('03.Muestra'!$D$8:$D$42))+1,""),ROW()-1614)),"")</f>
        <v>https://www.portcastello.com/</v>
      </c>
      <c r="D1627" s="130" t="str">
        <f t="shared" si="85"/>
        <v>N/T</v>
      </c>
      <c r="E1627" s="107" t="str">
        <f t="shared" si="84"/>
        <v/>
      </c>
      <c r="F1627" s="19"/>
      <c r="G1627" s="19"/>
      <c r="H1627" s="19"/>
      <c r="I1627" s="19"/>
      <c r="J1627" s="19"/>
      <c r="K1627" s="233"/>
    </row>
    <row r="1628" spans="1:11" ht="12" customHeight="1">
      <c r="A1628" s="219" t="n" cm="1">
        <f t="array" ref="A1628">IFERROR(INDEX('03.Muestra'!$B$8:$B$42,SMALL(IF("Página Web"='03.Muestra'!$D$8:$D$42,ROW('03.Muestra'!$B$8:$B$42)-MIN(ROW('03.Muestra'!$D$8:$D$42))+1,""),ROW()-1614)),"")</f>
        <v>1.0</v>
      </c>
      <c r="B1628" s="114" t="str" cm="1">
        <f t="array" ref="B1628">IFERROR(INDEX('03.Muestra'!$C$8:$C$42,SMALL(IF("Página Web"='03.Muestra'!$D$8:$D$42,ROW('03.Muestra'!$C$8:$C$42)-MIN(ROW('03.Muestra'!$D$8:$D$42))+1,""),ROW()-1614)),"")</f>
        <v>Home - PortCastelló</v>
      </c>
      <c r="C1628" s="114" t="str" cm="1">
        <f t="array" ref="C1628">IFERROR(INDEX('03.Muestra'!$F$8:$F$42,SMALL(IF("Página Web"='03.Muestra'!$D$8:$D$42,ROW('03.Muestra'!$F$8:$F$42)-MIN(ROW('03.Muestra'!$D$8:$D$42))+1,""),ROW()-1614)),"")</f>
        <v>https://www.portcastello.com/</v>
      </c>
      <c r="D1628" s="130" t="str">
        <f t="shared" si="85"/>
        <v>N/T</v>
      </c>
      <c r="E1628" s="107" t="str">
        <f t="shared" si="84"/>
        <v/>
      </c>
      <c r="F1628" s="19"/>
      <c r="G1628" s="19"/>
      <c r="H1628" s="19"/>
      <c r="I1628" s="19"/>
      <c r="J1628" s="19"/>
      <c r="K1628" s="233"/>
    </row>
    <row r="1629" spans="1:11" ht="12" customHeight="1">
      <c r="A1629" s="219" t="n" cm="1">
        <f t="array" ref="A1629">IFERROR(INDEX('03.Muestra'!$B$8:$B$42,SMALL(IF("Página Web"='03.Muestra'!$D$8:$D$42,ROW('03.Muestra'!$B$8:$B$42)-MIN(ROW('03.Muestra'!$D$8:$D$42))+1,""),ROW()-1614)),"")</f>
        <v>1.0</v>
      </c>
      <c r="B1629" s="114" t="str" cm="1">
        <f t="array" ref="B1629">IFERROR(INDEX('03.Muestra'!$C$8:$C$42,SMALL(IF("Página Web"='03.Muestra'!$D$8:$D$42,ROW('03.Muestra'!$C$8:$C$42)-MIN(ROW('03.Muestra'!$D$8:$D$42))+1,""),ROW()-1614)),"")</f>
        <v>Home - PortCastelló</v>
      </c>
      <c r="C1629" s="114" t="str" cm="1">
        <f t="array" ref="C1629">IFERROR(INDEX('03.Muestra'!$F$8:$F$42,SMALL(IF("Página Web"='03.Muestra'!$D$8:$D$42,ROW('03.Muestra'!$F$8:$F$42)-MIN(ROW('03.Muestra'!$D$8:$D$42))+1,""),ROW()-1614)),"")</f>
        <v>https://www.portcastello.com/</v>
      </c>
      <c r="D1629" s="130" t="str">
        <f t="shared" si="85"/>
        <v>N/T</v>
      </c>
      <c r="E1629" s="107" t="str">
        <f t="shared" si="84"/>
        <v/>
      </c>
      <c r="F1629" s="19"/>
      <c r="G1629" s="19"/>
      <c r="H1629" s="19"/>
      <c r="I1629" s="19"/>
      <c r="J1629" s="19"/>
      <c r="K1629" s="233"/>
    </row>
    <row r="1630" spans="1:11" ht="12" customHeight="1">
      <c r="A1630" s="219" t="n" cm="1">
        <f t="array" ref="A1630">IFERROR(INDEX('03.Muestra'!$B$8:$B$42,SMALL(IF("Página Web"='03.Muestra'!$D$8:$D$42,ROW('03.Muestra'!$B$8:$B$42)-MIN(ROW('03.Muestra'!$D$8:$D$42))+1,""),ROW()-1614)),"")</f>
        <v>1.0</v>
      </c>
      <c r="B1630" s="114" t="str" cm="1">
        <f t="array" ref="B1630">IFERROR(INDEX('03.Muestra'!$C$8:$C$42,SMALL(IF("Página Web"='03.Muestra'!$D$8:$D$42,ROW('03.Muestra'!$C$8:$C$42)-MIN(ROW('03.Muestra'!$D$8:$D$42))+1,""),ROW()-1614)),"")</f>
        <v>Home - PortCastelló</v>
      </c>
      <c r="C1630" s="114" t="str" cm="1">
        <f t="array" ref="C1630">IFERROR(INDEX('03.Muestra'!$F$8:$F$42,SMALL(IF("Página Web"='03.Muestra'!$D$8:$D$42,ROW('03.Muestra'!$F$8:$F$42)-MIN(ROW('03.Muestra'!$D$8:$D$42))+1,""),ROW()-1614)),"")</f>
        <v>https://www.portcastello.com/</v>
      </c>
      <c r="D1630" s="130" t="str">
        <f t="shared" si="85"/>
        <v>N/T</v>
      </c>
      <c r="E1630" s="107" t="str">
        <f t="shared" si="84"/>
        <v/>
      </c>
      <c r="F1630" s="19"/>
      <c r="G1630" s="19"/>
      <c r="H1630" s="19"/>
      <c r="I1630" s="19"/>
      <c r="J1630" s="19"/>
      <c r="K1630" s="233"/>
    </row>
    <row r="1631" spans="1:11" ht="12" customHeight="1">
      <c r="A1631" s="219" t="n" cm="1">
        <f t="array" ref="A1631">IFERROR(INDEX('03.Muestra'!$B$8:$B$42,SMALL(IF("Página Web"='03.Muestra'!$D$8:$D$42,ROW('03.Muestra'!$B$8:$B$42)-MIN(ROW('03.Muestra'!$D$8:$D$42))+1,""),ROW()-1614)),"")</f>
        <v>1.0</v>
      </c>
      <c r="B1631" s="114" t="str" cm="1">
        <f t="array" ref="B1631">IFERROR(INDEX('03.Muestra'!$C$8:$C$42,SMALL(IF("Página Web"='03.Muestra'!$D$8:$D$42,ROW('03.Muestra'!$C$8:$C$42)-MIN(ROW('03.Muestra'!$D$8:$D$42))+1,""),ROW()-1614)),"")</f>
        <v>Home - PortCastelló</v>
      </c>
      <c r="C1631" s="114" t="str" cm="1">
        <f t="array" ref="C1631">IFERROR(INDEX('03.Muestra'!$F$8:$F$42,SMALL(IF("Página Web"='03.Muestra'!$D$8:$D$42,ROW('03.Muestra'!$F$8:$F$42)-MIN(ROW('03.Muestra'!$D$8:$D$42))+1,""),ROW()-1614)),"")</f>
        <v>https://www.portcastello.com/</v>
      </c>
      <c r="D1631" s="130" t="str">
        <f t="shared" si="85"/>
        <v>N/T</v>
      </c>
      <c r="E1631" s="107" t="str">
        <f t="shared" si="84"/>
        <v/>
      </c>
      <c r="F1631" s="19"/>
      <c r="G1631" s="19"/>
      <c r="H1631" s="19"/>
      <c r="I1631" s="19"/>
      <c r="J1631" s="19"/>
      <c r="K1631" s="233"/>
    </row>
    <row r="1632" spans="1:11" ht="12" customHeight="1">
      <c r="A1632" s="219" t="n" cm="1">
        <f t="array" ref="A1632">IFERROR(INDEX('03.Muestra'!$B$8:$B$42,SMALL(IF("Página Web"='03.Muestra'!$D$8:$D$42,ROW('03.Muestra'!$B$8:$B$42)-MIN(ROW('03.Muestra'!$D$8:$D$42))+1,""),ROW()-1614)),"")</f>
        <v>1.0</v>
      </c>
      <c r="B1632" s="114" t="str" cm="1">
        <f t="array" ref="B1632">IFERROR(INDEX('03.Muestra'!$C$8:$C$42,SMALL(IF("Página Web"='03.Muestra'!$D$8:$D$42,ROW('03.Muestra'!$C$8:$C$42)-MIN(ROW('03.Muestra'!$D$8:$D$42))+1,""),ROW()-1614)),"")</f>
        <v>Home - PortCastelló</v>
      </c>
      <c r="C1632" s="114" t="str" cm="1">
        <f t="array" ref="C1632">IFERROR(INDEX('03.Muestra'!$F$8:$F$42,SMALL(IF("Página Web"='03.Muestra'!$D$8:$D$42,ROW('03.Muestra'!$F$8:$F$42)-MIN(ROW('03.Muestra'!$D$8:$D$42))+1,""),ROW()-1614)),"")</f>
        <v>https://www.portcastello.com/</v>
      </c>
      <c r="D1632" s="130" t="str">
        <f t="shared" si="85"/>
        <v>N/T</v>
      </c>
      <c r="E1632" s="107" t="str">
        <f t="shared" si="84"/>
        <v/>
      </c>
      <c r="F1632" s="19"/>
      <c r="G1632" s="19"/>
      <c r="H1632" s="19"/>
      <c r="I1632" s="19"/>
      <c r="J1632" s="19"/>
      <c r="K1632" s="233"/>
    </row>
    <row r="1633" spans="1:11" ht="12" customHeight="1">
      <c r="A1633" s="219" t="n" cm="1">
        <f t="array" ref="A1633">IFERROR(INDEX('03.Muestra'!$B$8:$B$42,SMALL(IF("Página Web"='03.Muestra'!$D$8:$D$42,ROW('03.Muestra'!$B$8:$B$42)-MIN(ROW('03.Muestra'!$D$8:$D$42))+1,""),ROW()-1614)),"")</f>
        <v>1.0</v>
      </c>
      <c r="B1633" s="114" t="str" cm="1">
        <f t="array" ref="B1633">IFERROR(INDEX('03.Muestra'!$C$8:$C$42,SMALL(IF("Página Web"='03.Muestra'!$D$8:$D$42,ROW('03.Muestra'!$C$8:$C$42)-MIN(ROW('03.Muestra'!$D$8:$D$42))+1,""),ROW()-1614)),"")</f>
        <v>Home - PortCastelló</v>
      </c>
      <c r="C1633" s="114" t="str" cm="1">
        <f t="array" ref="C1633">IFERROR(INDEX('03.Muestra'!$F$8:$F$42,SMALL(IF("Página Web"='03.Muestra'!$D$8:$D$42,ROW('03.Muestra'!$F$8:$F$42)-MIN(ROW('03.Muestra'!$D$8:$D$42))+1,""),ROW()-1614)),"")</f>
        <v>https://www.portcastello.com/</v>
      </c>
      <c r="D1633" s="130" t="str">
        <f t="shared" si="85"/>
        <v>N/T</v>
      </c>
      <c r="E1633" s="107" t="str">
        <f t="shared" si="84"/>
        <v/>
      </c>
      <c r="F1633" s="19"/>
      <c r="G1633" s="19"/>
      <c r="H1633" s="19"/>
      <c r="I1633" s="19"/>
      <c r="J1633" s="19"/>
      <c r="K1633" s="233"/>
    </row>
    <row r="1634" spans="1:11" ht="12" customHeight="1">
      <c r="A1634" s="219" t="n" cm="1">
        <f t="array" ref="A1634">IFERROR(INDEX('03.Muestra'!$B$8:$B$42,SMALL(IF("Página Web"='03.Muestra'!$D$8:$D$42,ROW('03.Muestra'!$B$8:$B$42)-MIN(ROW('03.Muestra'!$D$8:$D$42))+1,""),ROW()-1614)),"")</f>
        <v>1.0</v>
      </c>
      <c r="B1634" s="114" t="str" cm="1">
        <f t="array" ref="B1634">IFERROR(INDEX('03.Muestra'!$C$8:$C$42,SMALL(IF("Página Web"='03.Muestra'!$D$8:$D$42,ROW('03.Muestra'!$C$8:$C$42)-MIN(ROW('03.Muestra'!$D$8:$D$42))+1,""),ROW()-1614)),"")</f>
        <v>Home - PortCastelló</v>
      </c>
      <c r="C1634" s="114" t="str" cm="1">
        <f t="array" ref="C1634">IFERROR(INDEX('03.Muestra'!$F$8:$F$42,SMALL(IF("Página Web"='03.Muestra'!$D$8:$D$42,ROW('03.Muestra'!$F$8:$F$42)-MIN(ROW('03.Muestra'!$D$8:$D$42))+1,""),ROW()-1614)),"")</f>
        <v>https://www.portcastello.com/</v>
      </c>
      <c r="D1634" s="130" t="str">
        <f t="shared" si="85"/>
        <v>N/T</v>
      </c>
      <c r="E1634" s="107" t="str">
        <f t="shared" si="84"/>
        <v/>
      </c>
      <c r="F1634" s="19"/>
      <c r="G1634" s="19"/>
      <c r="H1634" s="19"/>
      <c r="I1634" s="19"/>
      <c r="J1634" s="19"/>
      <c r="K1634" s="233"/>
    </row>
    <row r="1635" spans="1:11" ht="12" customHeight="1">
      <c r="A1635" s="219" t="n" cm="1">
        <f t="array" ref="A1635">IFERROR(INDEX('03.Muestra'!$B$8:$B$42,SMALL(IF("Página Web"='03.Muestra'!$D$8:$D$42,ROW('03.Muestra'!$B$8:$B$42)-MIN(ROW('03.Muestra'!$D$8:$D$42))+1,""),ROW()-1614)),"")</f>
        <v>1.0</v>
      </c>
      <c r="B1635" s="114" t="str" cm="1">
        <f t="array" ref="B1635">IFERROR(INDEX('03.Muestra'!$C$8:$C$42,SMALL(IF("Página Web"='03.Muestra'!$D$8:$D$42,ROW('03.Muestra'!$C$8:$C$42)-MIN(ROW('03.Muestra'!$D$8:$D$42))+1,""),ROW()-1614)),"")</f>
        <v>Home - PortCastelló</v>
      </c>
      <c r="C1635" s="114" t="str" cm="1">
        <f t="array" ref="C1635">IFERROR(INDEX('03.Muestra'!$F$8:$F$42,SMALL(IF("Página Web"='03.Muestra'!$D$8:$D$42,ROW('03.Muestra'!$F$8:$F$42)-MIN(ROW('03.Muestra'!$D$8:$D$42))+1,""),ROW()-1614)),"")</f>
        <v>https://www.portcastello.com/</v>
      </c>
      <c r="D1635" s="130" t="str">
        <f t="shared" si="85"/>
        <v>N/T</v>
      </c>
      <c r="E1635" s="107" t="str">
        <f t="shared" si="84"/>
        <v/>
      </c>
      <c r="F1635" s="19"/>
      <c r="G1635" s="19"/>
      <c r="H1635" s="19"/>
      <c r="I1635" s="19"/>
      <c r="J1635" s="19"/>
      <c r="K1635" s="233"/>
    </row>
    <row r="1636" spans="1:11" ht="12" customHeight="1">
      <c r="A1636" s="219" t="n" cm="1">
        <f t="array" ref="A1636">IFERROR(INDEX('03.Muestra'!$B$8:$B$42,SMALL(IF("Página Web"='03.Muestra'!$D$8:$D$42,ROW('03.Muestra'!$B$8:$B$42)-MIN(ROW('03.Muestra'!$D$8:$D$42))+1,""),ROW()-1614)),"")</f>
        <v>1.0</v>
      </c>
      <c r="B1636" s="114" t="str" cm="1">
        <f t="array" ref="B1636">IFERROR(INDEX('03.Muestra'!$C$8:$C$42,SMALL(IF("Página Web"='03.Muestra'!$D$8:$D$42,ROW('03.Muestra'!$C$8:$C$42)-MIN(ROW('03.Muestra'!$D$8:$D$42))+1,""),ROW()-1614)),"")</f>
        <v>Home - PortCastelló</v>
      </c>
      <c r="C1636" s="114" t="str" cm="1">
        <f t="array" ref="C1636">IFERROR(INDEX('03.Muestra'!$F$8:$F$42,SMALL(IF("Página Web"='03.Muestra'!$D$8:$D$42,ROW('03.Muestra'!$F$8:$F$42)-MIN(ROW('03.Muestra'!$D$8:$D$42))+1,""),ROW()-1614)),"")</f>
        <v>https://www.portcastello.com/</v>
      </c>
      <c r="D1636" s="130" t="str">
        <f t="shared" si="85"/>
        <v>N/T</v>
      </c>
      <c r="E1636" s="107" t="str">
        <f t="shared" si="84"/>
        <v/>
      </c>
      <c r="F1636" s="19"/>
      <c r="G1636" s="19"/>
      <c r="H1636" s="19"/>
      <c r="I1636" s="19"/>
      <c r="J1636" s="19"/>
      <c r="K1636" s="233"/>
    </row>
    <row r="1637" spans="1:11" ht="12" customHeight="1">
      <c r="A1637" s="219" t="n" cm="1">
        <f t="array" ref="A1637">IFERROR(INDEX('03.Muestra'!$B$8:$B$42,SMALL(IF("Página Web"='03.Muestra'!$D$8:$D$42,ROW('03.Muestra'!$B$8:$B$42)-MIN(ROW('03.Muestra'!$D$8:$D$42))+1,""),ROW()-1614)),"")</f>
        <v>1.0</v>
      </c>
      <c r="B1637" s="114" t="str" cm="1">
        <f t="array" ref="B1637">IFERROR(INDEX('03.Muestra'!$C$8:$C$42,SMALL(IF("Página Web"='03.Muestra'!$D$8:$D$42,ROW('03.Muestra'!$C$8:$C$42)-MIN(ROW('03.Muestra'!$D$8:$D$42))+1,""),ROW()-1614)),"")</f>
        <v>Home - PortCastelló</v>
      </c>
      <c r="C1637" s="114" t="str" cm="1">
        <f t="array" ref="C1637">IFERROR(INDEX('03.Muestra'!$F$8:$F$42,SMALL(IF("Página Web"='03.Muestra'!$D$8:$D$42,ROW('03.Muestra'!$F$8:$F$42)-MIN(ROW('03.Muestra'!$D$8:$D$42))+1,""),ROW()-1614)),"")</f>
        <v>https://www.portcastello.com/</v>
      </c>
      <c r="D1637" s="130" t="str">
        <f t="shared" si="85"/>
        <v>N/T</v>
      </c>
      <c r="E1637" s="107" t="str">
        <f t="shared" si="84"/>
        <v/>
      </c>
      <c r="F1637" s="19"/>
      <c r="G1637" s="19"/>
      <c r="H1637" s="19"/>
      <c r="I1637" s="19"/>
      <c r="J1637" s="19"/>
      <c r="K1637" s="233"/>
    </row>
    <row r="1638" spans="1:11" ht="12" customHeight="1">
      <c r="A1638" s="219" t="n" cm="1">
        <f t="array" ref="A1638">IFERROR(INDEX('03.Muestra'!$B$8:$B$42,SMALL(IF("Página Web"='03.Muestra'!$D$8:$D$42,ROW('03.Muestra'!$B$8:$B$42)-MIN(ROW('03.Muestra'!$D$8:$D$42))+1,""),ROW()-1614)),"")</f>
        <v>1.0</v>
      </c>
      <c r="B1638" s="114" t="str" cm="1">
        <f t="array" ref="B1638">IFERROR(INDEX('03.Muestra'!$C$8:$C$42,SMALL(IF("Página Web"='03.Muestra'!$D$8:$D$42,ROW('03.Muestra'!$C$8:$C$42)-MIN(ROW('03.Muestra'!$D$8:$D$42))+1,""),ROW()-1614)),"")</f>
        <v>Home - PortCastelló</v>
      </c>
      <c r="C1638" s="114" t="str" cm="1">
        <f t="array" ref="C1638">IFERROR(INDEX('03.Muestra'!$F$8:$F$42,SMALL(IF("Página Web"='03.Muestra'!$D$8:$D$42,ROW('03.Muestra'!$F$8:$F$42)-MIN(ROW('03.Muestra'!$D$8:$D$42))+1,""),ROW()-1614)),"")</f>
        <v>https://www.portcastello.com/</v>
      </c>
      <c r="D1638" s="130" t="str">
        <f t="shared" si="85"/>
        <v>N/T</v>
      </c>
      <c r="E1638" s="107" t="str">
        <f t="shared" si="84"/>
        <v/>
      </c>
      <c r="F1638" s="19"/>
      <c r="G1638" s="19"/>
      <c r="H1638" s="19"/>
      <c r="I1638" s="19"/>
      <c r="J1638" s="19"/>
      <c r="K1638" s="233"/>
    </row>
    <row r="1639" spans="1:11" ht="12" customHeight="1">
      <c r="A1639" s="219" t="n" cm="1">
        <f t="array" ref="A1639">IFERROR(INDEX('03.Muestra'!$B$8:$B$42,SMALL(IF("Página Web"='03.Muestra'!$D$8:$D$42,ROW('03.Muestra'!$B$8:$B$42)-MIN(ROW('03.Muestra'!$D$8:$D$42))+1,""),ROW()-1614)),"")</f>
        <v>1.0</v>
      </c>
      <c r="B1639" s="114" t="str" cm="1">
        <f t="array" ref="B1639">IFERROR(INDEX('03.Muestra'!$C$8:$C$42,SMALL(IF("Página Web"='03.Muestra'!$D$8:$D$42,ROW('03.Muestra'!$C$8:$C$42)-MIN(ROW('03.Muestra'!$D$8:$D$42))+1,""),ROW()-1614)),"")</f>
        <v>Home - PortCastelló</v>
      </c>
      <c r="C1639" s="114" t="str" cm="1">
        <f t="array" ref="C1639">IFERROR(INDEX('03.Muestra'!$F$8:$F$42,SMALL(IF("Página Web"='03.Muestra'!$D$8:$D$42,ROW('03.Muestra'!$F$8:$F$42)-MIN(ROW('03.Muestra'!$D$8:$D$42))+1,""),ROW()-1614)),"")</f>
        <v>https://www.portcastello.com/</v>
      </c>
      <c r="D1639" s="130" t="str">
        <f t="shared" si="85"/>
        <v>N/T</v>
      </c>
      <c r="E1639" s="107" t="str">
        <f t="shared" si="84"/>
        <v/>
      </c>
      <c r="F1639" s="19"/>
      <c r="G1639" s="19"/>
      <c r="H1639" s="19"/>
      <c r="I1639" s="19"/>
      <c r="J1639" s="19"/>
      <c r="K1639" s="233"/>
    </row>
    <row r="1640" spans="1:11" ht="12" customHeight="1">
      <c r="A1640" s="219" t="n" cm="1">
        <f t="array" ref="A1640">IFERROR(INDEX('03.Muestra'!$B$8:$B$42,SMALL(IF("Página Web"='03.Muestra'!$D$8:$D$42,ROW('03.Muestra'!$B$8:$B$42)-MIN(ROW('03.Muestra'!$D$8:$D$42))+1,""),ROW()-1614)),"")</f>
        <v>1.0</v>
      </c>
      <c r="B1640" s="114" t="str" cm="1">
        <f t="array" ref="B1640">IFERROR(INDEX('03.Muestra'!$C$8:$C$42,SMALL(IF("Página Web"='03.Muestra'!$D$8:$D$42,ROW('03.Muestra'!$C$8:$C$42)-MIN(ROW('03.Muestra'!$D$8:$D$42))+1,""),ROW()-1614)),"")</f>
        <v>Home - PortCastelló</v>
      </c>
      <c r="C1640" s="114" t="str" cm="1">
        <f t="array" ref="C1640">IFERROR(INDEX('03.Muestra'!$F$8:$F$42,SMALL(IF("Página Web"='03.Muestra'!$D$8:$D$42,ROW('03.Muestra'!$F$8:$F$42)-MIN(ROW('03.Muestra'!$D$8:$D$42))+1,""),ROW()-1614)),"")</f>
        <v>https://www.portcastello.com/</v>
      </c>
      <c r="D1640" s="130" t="str">
        <f t="shared" si="85"/>
        <v>N/T</v>
      </c>
      <c r="E1640" s="107" t="str">
        <f t="shared" si="84"/>
        <v/>
      </c>
      <c r="F1640" s="19"/>
      <c r="G1640" s="19"/>
      <c r="H1640" s="19"/>
      <c r="I1640" s="19"/>
      <c r="J1640" s="19"/>
      <c r="K1640" s="233"/>
    </row>
    <row r="1641" spans="1:11" ht="12" customHeight="1">
      <c r="A1641" s="219" t="n" cm="1">
        <f t="array" ref="A1641">IFERROR(INDEX('03.Muestra'!$B$8:$B$42,SMALL(IF("Página Web"='03.Muestra'!$D$8:$D$42,ROW('03.Muestra'!$B$8:$B$42)-MIN(ROW('03.Muestra'!$D$8:$D$42))+1,""),ROW()-1614)),"")</f>
        <v>1.0</v>
      </c>
      <c r="B1641" s="114" t="str" cm="1">
        <f t="array" ref="B1641">IFERROR(INDEX('03.Muestra'!$C$8:$C$42,SMALL(IF("Página Web"='03.Muestra'!$D$8:$D$42,ROW('03.Muestra'!$C$8:$C$42)-MIN(ROW('03.Muestra'!$D$8:$D$42))+1,""),ROW()-1614)),"")</f>
        <v>Home - PortCastelló</v>
      </c>
      <c r="C1641" s="114" t="str" cm="1">
        <f t="array" ref="C1641">IFERROR(INDEX('03.Muestra'!$F$8:$F$42,SMALL(IF("Página Web"='03.Muestra'!$D$8:$D$42,ROW('03.Muestra'!$F$8:$F$42)-MIN(ROW('03.Muestra'!$D$8:$D$42))+1,""),ROW()-1614)),"")</f>
        <v>https://www.portcastello.com/</v>
      </c>
      <c r="D1641" s="130" t="str">
        <f t="shared" si="85"/>
        <v>N/T</v>
      </c>
      <c r="E1641" s="107" t="str">
        <f t="shared" si="84"/>
        <v/>
      </c>
      <c r="F1641" s="19"/>
      <c r="G1641" s="19"/>
      <c r="H1641" s="19"/>
      <c r="I1641" s="19"/>
      <c r="J1641" s="19"/>
      <c r="K1641" s="233"/>
    </row>
    <row r="1642" spans="1:11" ht="12" customHeight="1">
      <c r="A1642" s="219" t="n" cm="1">
        <f t="array" ref="A1642">IFERROR(INDEX('03.Muestra'!$B$8:$B$42,SMALL(IF("Página Web"='03.Muestra'!$D$8:$D$42,ROW('03.Muestra'!$B$8:$B$42)-MIN(ROW('03.Muestra'!$D$8:$D$42))+1,""),ROW()-1614)),"")</f>
        <v>1.0</v>
      </c>
      <c r="B1642" s="114" t="str" cm="1">
        <f t="array" ref="B1642">IFERROR(INDEX('03.Muestra'!$C$8:$C$42,SMALL(IF("Página Web"='03.Muestra'!$D$8:$D$42,ROW('03.Muestra'!$C$8:$C$42)-MIN(ROW('03.Muestra'!$D$8:$D$42))+1,""),ROW()-1614)),"")</f>
        <v>Home - PortCastelló</v>
      </c>
      <c r="C1642" s="114" t="str" cm="1">
        <f t="array" ref="C1642">IFERROR(INDEX('03.Muestra'!$F$8:$F$42,SMALL(IF("Página Web"='03.Muestra'!$D$8:$D$42,ROW('03.Muestra'!$F$8:$F$42)-MIN(ROW('03.Muestra'!$D$8:$D$42))+1,""),ROW()-1614)),"")</f>
        <v>https://www.portcastello.com/</v>
      </c>
      <c r="D1642" s="130" t="str">
        <f t="shared" si="85"/>
        <v>N/T</v>
      </c>
      <c r="E1642" s="107" t="str">
        <f t="shared" si="84"/>
        <v/>
      </c>
      <c r="G1642" s="19"/>
      <c r="H1642" s="19"/>
      <c r="I1642" s="19"/>
      <c r="J1642" s="19"/>
      <c r="K1642" s="233"/>
    </row>
    <row r="1643" spans="1:11" ht="12" customHeight="1">
      <c r="A1643" s="219" t="n" cm="1">
        <f t="array" ref="A1643">IFERROR(INDEX('03.Muestra'!$B$8:$B$42,SMALL(IF("Página Web"='03.Muestra'!$D$8:$D$42,ROW('03.Muestra'!$B$8:$B$42)-MIN(ROW('03.Muestra'!$D$8:$D$42))+1,""),ROW()-1614)),"")</f>
        <v>1.0</v>
      </c>
      <c r="B1643" s="114" t="str" cm="1">
        <f t="array" ref="B1643">IFERROR(INDEX('03.Muestra'!$C$8:$C$42,SMALL(IF("Página Web"='03.Muestra'!$D$8:$D$42,ROW('03.Muestra'!$C$8:$C$42)-MIN(ROW('03.Muestra'!$D$8:$D$42))+1,""),ROW()-1614)),"")</f>
        <v>Home - PortCastelló</v>
      </c>
      <c r="C1643" s="114" t="str" cm="1">
        <f t="array" ref="C1643">IFERROR(INDEX('03.Muestra'!$F$8:$F$42,SMALL(IF("Página Web"='03.Muestra'!$D$8:$D$42,ROW('03.Muestra'!$F$8:$F$42)-MIN(ROW('03.Muestra'!$D$8:$D$42))+1,""),ROW()-1614)),"")</f>
        <v>https://www.portcastello.com/</v>
      </c>
      <c r="D1643" s="130" t="str">
        <f t="shared" si="85"/>
        <v>N/T</v>
      </c>
      <c r="E1643" s="107" t="str">
        <f t="shared" si="84"/>
        <v/>
      </c>
      <c r="F1643" s="124"/>
      <c r="G1643" s="19"/>
      <c r="H1643" s="19"/>
      <c r="I1643" s="19"/>
      <c r="J1643" s="19"/>
      <c r="K1643" s="233"/>
    </row>
    <row r="1644" spans="1:11" ht="12" customHeight="1">
      <c r="A1644" s="219" t="n" cm="1">
        <f t="array" ref="A1644">IFERROR(INDEX('03.Muestra'!$B$8:$B$42,SMALL(IF("Página Web"='03.Muestra'!$D$8:$D$42,ROW('03.Muestra'!$B$8:$B$42)-MIN(ROW('03.Muestra'!$D$8:$D$42))+1,""),ROW()-1614)),"")</f>
        <v>1.0</v>
      </c>
      <c r="B1644" s="114" t="str" cm="1">
        <f t="array" ref="B1644">IFERROR(INDEX('03.Muestra'!$C$8:$C$42,SMALL(IF("Página Web"='03.Muestra'!$D$8:$D$42,ROW('03.Muestra'!$C$8:$C$42)-MIN(ROW('03.Muestra'!$D$8:$D$42))+1,""),ROW()-1614)),"")</f>
        <v>Home - PortCastelló</v>
      </c>
      <c r="C1644" s="114" t="str" cm="1">
        <f t="array" ref="C1644">IFERROR(INDEX('03.Muestra'!$F$8:$F$42,SMALL(IF("Página Web"='03.Muestra'!$D$8:$D$42,ROW('03.Muestra'!$F$8:$F$42)-MIN(ROW('03.Muestra'!$D$8:$D$42))+1,""),ROW()-1614)),"")</f>
        <v>https://www.portcastello.com/</v>
      </c>
      <c r="D1644" s="130" t="str">
        <f t="shared" si="85"/>
        <v>N/T</v>
      </c>
      <c r="E1644" s="107" t="str">
        <f t="shared" si="84"/>
        <v/>
      </c>
      <c r="F1644" s="124"/>
      <c r="G1644" s="19"/>
      <c r="H1644" s="19"/>
      <c r="I1644" s="19"/>
      <c r="J1644" s="19"/>
      <c r="K1644" s="233"/>
    </row>
    <row r="1645" spans="1:11" ht="12" customHeight="1">
      <c r="A1645" s="219" t="n" cm="1">
        <f t="array" ref="A1645">IFERROR(INDEX('03.Muestra'!$B$8:$B$42,SMALL(IF("Página Web"='03.Muestra'!$D$8:$D$42,ROW('03.Muestra'!$B$8:$B$42)-MIN(ROW('03.Muestra'!$D$8:$D$42))+1,""),ROW()-1614)),"")</f>
        <v>1.0</v>
      </c>
      <c r="B1645" s="114" t="str" cm="1">
        <f t="array" ref="B1645">IFERROR(INDEX('03.Muestra'!$C$8:$C$42,SMALL(IF("Página Web"='03.Muestra'!$D$8:$D$42,ROW('03.Muestra'!$C$8:$C$42)-MIN(ROW('03.Muestra'!$D$8:$D$42))+1,""),ROW()-1614)),"")</f>
        <v>Home - PortCastelló</v>
      </c>
      <c r="C1645" s="114" t="str" cm="1">
        <f t="array" ref="C1645">IFERROR(INDEX('03.Muestra'!$F$8:$F$42,SMALL(IF("Página Web"='03.Muestra'!$D$8:$D$42,ROW('03.Muestra'!$F$8:$F$42)-MIN(ROW('03.Muestra'!$D$8:$D$42))+1,""),ROW()-1614)),"")</f>
        <v>https://www.portcastello.com/</v>
      </c>
      <c r="D1645" s="130" t="str">
        <f t="shared" si="85"/>
        <v>N/T</v>
      </c>
      <c r="E1645" s="107" t="str">
        <f t="shared" si="84"/>
        <v/>
      </c>
      <c r="F1645" s="124"/>
      <c r="G1645" s="19"/>
      <c r="H1645" s="19"/>
      <c r="I1645" s="19"/>
      <c r="J1645" s="19"/>
      <c r="K1645" s="233"/>
    </row>
    <row r="1646" spans="1:11" ht="12" customHeight="1">
      <c r="A1646" s="219" t="n" cm="1">
        <f t="array" ref="A1646">IFERROR(INDEX('03.Muestra'!$B$8:$B$42,SMALL(IF("Página Web"='03.Muestra'!$D$8:$D$42,ROW('03.Muestra'!$B$8:$B$42)-MIN(ROW('03.Muestra'!$D$8:$D$42))+1,""),ROW()-1614)),"")</f>
        <v>1.0</v>
      </c>
      <c r="B1646" s="114" t="str" cm="1">
        <f t="array" ref="B1646">IFERROR(INDEX('03.Muestra'!$C$8:$C$42,SMALL(IF("Página Web"='03.Muestra'!$D$8:$D$42,ROW('03.Muestra'!$C$8:$C$42)-MIN(ROW('03.Muestra'!$D$8:$D$42))+1,""),ROW()-1614)),"")</f>
        <v>Home - PortCastelló</v>
      </c>
      <c r="C1646" s="114" t="str" cm="1">
        <f t="array" ref="C1646">IFERROR(INDEX('03.Muestra'!$F$8:$F$42,SMALL(IF("Página Web"='03.Muestra'!$D$8:$D$42,ROW('03.Muestra'!$F$8:$F$42)-MIN(ROW('03.Muestra'!$D$8:$D$42))+1,""),ROW()-1614)),"")</f>
        <v>https://www.portcastello.com/</v>
      </c>
      <c r="D1646" s="130" t="str">
        <f t="shared" si="85"/>
        <v>N/T</v>
      </c>
      <c r="E1646" s="107" t="str">
        <f t="shared" si="84"/>
        <v/>
      </c>
      <c r="F1646" s="124"/>
      <c r="G1646" s="19"/>
      <c r="H1646" s="19"/>
      <c r="I1646" s="19"/>
      <c r="J1646" s="19"/>
      <c r="K1646" s="233"/>
    </row>
    <row r="1647" spans="1:11" ht="12" customHeight="1">
      <c r="A1647" s="219" t="n" cm="1">
        <f t="array" ref="A1647">IFERROR(INDEX('03.Muestra'!$B$8:$B$42,SMALL(IF("Página Web"='03.Muestra'!$D$8:$D$42,ROW('03.Muestra'!$B$8:$B$42)-MIN(ROW('03.Muestra'!$D$8:$D$42))+1,""),ROW()-1614)),"")</f>
        <v>1.0</v>
      </c>
      <c r="B1647" s="114" t="str" cm="1">
        <f t="array" ref="B1647">IFERROR(INDEX('03.Muestra'!$C$8:$C$42,SMALL(IF("Página Web"='03.Muestra'!$D$8:$D$42,ROW('03.Muestra'!$C$8:$C$42)-MIN(ROW('03.Muestra'!$D$8:$D$42))+1,""),ROW()-1614)),"")</f>
        <v>Home - PortCastelló</v>
      </c>
      <c r="C1647" s="114" t="str" cm="1">
        <f t="array" ref="C1647">IFERROR(INDEX('03.Muestra'!$F$8:$F$42,SMALL(IF("Página Web"='03.Muestra'!$D$8:$D$42,ROW('03.Muestra'!$F$8:$F$42)-MIN(ROW('03.Muestra'!$D$8:$D$42))+1,""),ROW()-1614)),"")</f>
        <v>https://www.portcastello.com/</v>
      </c>
      <c r="D1647" s="130" t="str">
        <f t="shared" si="85"/>
        <v>N/T</v>
      </c>
      <c r="E1647" s="107" t="str">
        <f t="shared" si="84"/>
        <v/>
      </c>
      <c r="F1647" s="124"/>
      <c r="G1647" s="19"/>
      <c r="H1647" s="19"/>
      <c r="I1647" s="19"/>
      <c r="J1647" s="19"/>
      <c r="K1647" s="233"/>
    </row>
    <row r="1648" spans="1:11" ht="12" customHeight="1">
      <c r="A1648" s="219" t="str" cm="1">
        <f t="array" ref="A1648">IFERROR(INDEX('03.Muestra'!$B$8:$B$42,SMALL(IF("Página Web"='03.Muestra'!$D$8:$D$42,ROW('03.Muestra'!$B$8:$B$42)-MIN(ROW('03.Muestra'!$D$8:$D$42))+1,""),ROW()-1614)),"")</f>
        <v/>
      </c>
      <c r="B1648" s="114" t="str" cm="1">
        <f t="array" ref="B1648">IFERROR(INDEX('03.Muestra'!$C$8:$C$42,SMALL(IF("Página Web"='03.Muestra'!$D$8:$D$42,ROW('03.Muestra'!$C$8:$C$42)-MIN(ROW('03.Muestra'!$D$8:$D$42))+1,""),ROW()-1614)),"")</f>
        <v/>
      </c>
      <c r="C1648" s="114" t="str" cm="1">
        <f t="array" ref="C1648">IFERROR(INDEX('03.Muestra'!$F$8:$F$42,SMALL(IF("Página Web"='03.Muestra'!$D$8:$D$42,ROW('03.Muestra'!$F$8:$F$42)-MIN(ROW('03.Muestra'!$D$8:$D$42))+1,""),ROW()-1614)),"")</f>
        <v/>
      </c>
      <c r="D1648" s="130" t="str">
        <f t="shared" si="85"/>
        <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268</v>
      </c>
      <c r="B1652" s="24" t="s">
        <v>90</v>
      </c>
      <c r="C1652" s="25" t="s">
        <v>416</v>
      </c>
      <c r="D1652" s="26" t="s">
        <v>32</v>
      </c>
      <c r="E1652" s="123"/>
      <c r="K1652" s="233"/>
    </row>
    <row r="1653" spans="1:11" ht="12" customHeight="1">
      <c r="A1653" s="219" t="n" cm="1">
        <f t="array" ref="A1653">IFERROR(INDEX('03.Muestra'!$B$8:$B$42,SMALL(IF("Página Web"='03.Muestra'!$D$8:$D$42,ROW('03.Muestra'!$B$8:$B$42)-MIN(ROW('03.Muestra'!$D$8:$D$42))+1,""),ROW()-1652)),"")</f>
        <v>1.0</v>
      </c>
      <c r="B1653" s="114" t="str" cm="1">
        <f t="array" ref="B1653">IFERROR(INDEX('03.Muestra'!$C$8:$C$42,SMALL(IF("Página Web"='03.Muestra'!$D$8:$D$42,ROW('03.Muestra'!$C$8:$C$42)-MIN(ROW('03.Muestra'!$D$8:$D$42))+1,""),ROW()-1652)),"")</f>
        <v>Home - PortCastelló</v>
      </c>
      <c r="C1653" s="114" t="str" cm="1">
        <f t="array" ref="C1653">IFERROR(INDEX('03.Muestra'!$F$8:$F$42,SMALL(IF("Página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2" customHeight="1">
      <c r="A1654" s="219" t="n" cm="1">
        <f t="array" ref="A1654">IFERROR(INDEX('03.Muestra'!$B$8:$B$42,SMALL(IF("Página Web"='03.Muestra'!$D$8:$D$42,ROW('03.Muestra'!$B$8:$B$42)-MIN(ROW('03.Muestra'!$D$8:$D$42))+1,""),ROW()-1652)),"")</f>
        <v>1.0</v>
      </c>
      <c r="B1654" s="114" t="str" cm="1">
        <f t="array" ref="B1654">IFERROR(INDEX('03.Muestra'!$C$8:$C$42,SMALL(IF("Página Web"='03.Muestra'!$D$8:$D$42,ROW('03.Muestra'!$C$8:$C$42)-MIN(ROW('03.Muestra'!$D$8:$D$42))+1,""),ROW()-1652)),"")</f>
        <v>Home - PortCastelló</v>
      </c>
      <c r="C1654" s="114" t="str" cm="1">
        <f t="array" ref="C1654">IFERROR(INDEX('03.Muestra'!$F$8:$F$42,SMALL(IF("Página Web"='03.Muestra'!$D$8:$D$42,ROW('03.Muestra'!$F$8:$F$42)-MIN(ROW('03.Muestra'!$D$8:$D$42))+1,""),ROW()-1652)),"")</f>
        <v>https://www.portcastello.com/</v>
      </c>
      <c r="D1654" s="130" t="s">
        <v>37</v>
      </c>
      <c r="E1654" s="107" t="str">
        <f t="shared" si="86"/>
        <v/>
      </c>
      <c r="F1654" s="120" t="n">
        <f ca="1">COUNTIF($D1653:INDIRECT("$D" &amp;  SUM(ROW()-1,'03.Muestra'!$D$45)-1),F1653)</f>
        <v>0.0</v>
      </c>
      <c r="G1654" s="120" t="n">
        <f ca="1">COUNTIF($D1653:INDIRECT("$D" &amp;  SUM(ROW()-1,'03.Muestra'!$D$45)-1),G1653)</f>
        <v>33.0</v>
      </c>
      <c r="H1654" s="120" t="n">
        <f ca="1">COUNTIF($D1653:INDIRECT("$D" &amp;  SUM(ROW()-1,'03.Muestra'!$D$45)-1),H1653)</f>
        <v>0.0</v>
      </c>
      <c r="I1654" s="120" t="n">
        <f ca="1">COUNTIF($D1653:INDIRECT("$D" &amp;  SUM(ROW()-1,'03.Muestra'!$D$45)-1),I1653)</f>
        <v>0.0</v>
      </c>
      <c r="J1654" s="120" t="n">
        <f ca="1">COUNTIF($D1653:INDIRECT("$D" &amp;  SUM(ROW()-1,'03.Muestra'!$D$45)-1),J1653)</f>
        <v>0.0</v>
      </c>
      <c r="K1654" s="227" t="n">
        <f ca="1">IF(COUNTIF('03.Muestra'!$D$8:$D$42,"Página Web")=0,0,COUNTBLANK($D1653:INDIRECT("$D" &amp;  SUM(ROW()-1,COUNTIF('03.Muestra'!$D$8:$D$42,"Página Web"))-1)))</f>
        <v>0.0</v>
      </c>
    </row>
    <row r="1655" spans="1:11" ht="12" customHeight="1">
      <c r="A1655" s="219" t="n" cm="1">
        <f t="array" ref="A1655">IFERROR(INDEX('03.Muestra'!$B$8:$B$42,SMALL(IF("Página Web"='03.Muestra'!$D$8:$D$42,ROW('03.Muestra'!$B$8:$B$42)-MIN(ROW('03.Muestra'!$D$8:$D$42))+1,""),ROW()-1652)),"")</f>
        <v>1.0</v>
      </c>
      <c r="B1655" s="114" t="str" cm="1">
        <f t="array" ref="B1655">IFERROR(INDEX('03.Muestra'!$C$8:$C$42,SMALL(IF("Página Web"='03.Muestra'!$D$8:$D$42,ROW('03.Muestra'!$C$8:$C$42)-MIN(ROW('03.Muestra'!$D$8:$D$42))+1,""),ROW()-1652)),"")</f>
        <v>Home - PortCastelló</v>
      </c>
      <c r="C1655" s="114" t="str" cm="1">
        <f t="array" ref="C1655">IFERROR(INDEX('03.Muestra'!$F$8:$F$42,SMALL(IF("Página Web"='03.Muestra'!$D$8:$D$42,ROW('03.Muestra'!$F$8:$F$42)-MIN(ROW('03.Muestra'!$D$8:$D$42))+1,""),ROW()-1652)),"")</f>
        <v>https://www.portcastello.com/</v>
      </c>
      <c r="D1655" s="130" t="s">
        <v>37</v>
      </c>
      <c r="E1655" s="107" t="str">
        <f t="shared" si="86"/>
        <v/>
      </c>
      <c r="G1655" s="19"/>
      <c r="H1655" s="19"/>
      <c r="I1655" s="19"/>
      <c r="J1655" s="19"/>
      <c r="K1655" s="233"/>
    </row>
    <row r="1656" spans="1:11" ht="12" customHeight="1">
      <c r="A1656" s="219" t="n" cm="1">
        <f t="array" ref="A1656">IFERROR(INDEX('03.Muestra'!$B$8:$B$42,SMALL(IF("Página Web"='03.Muestra'!$D$8:$D$42,ROW('03.Muestra'!$B$8:$B$42)-MIN(ROW('03.Muestra'!$D$8:$D$42))+1,""),ROW()-1652)),"")</f>
        <v>1.0</v>
      </c>
      <c r="B1656" s="114" t="str" cm="1">
        <f t="array" ref="B1656">IFERROR(INDEX('03.Muestra'!$C$8:$C$42,SMALL(IF("Página Web"='03.Muestra'!$D$8:$D$42,ROW('03.Muestra'!$C$8:$C$42)-MIN(ROW('03.Muestra'!$D$8:$D$42))+1,""),ROW()-1652)),"")</f>
        <v>Home - PortCastelló</v>
      </c>
      <c r="C1656" s="114" t="str" cm="1">
        <f t="array" ref="C1656">IFERROR(INDEX('03.Muestra'!$F$8:$F$42,SMALL(IF("Página Web"='03.Muestra'!$D$8:$D$42,ROW('03.Muestra'!$F$8:$F$42)-MIN(ROW('03.Muestra'!$D$8:$D$42))+1,""),ROW()-1652)),"")</f>
        <v>https://www.portcastello.com/</v>
      </c>
      <c r="D1656" s="130" t="s">
        <v>37</v>
      </c>
      <c r="E1656" s="107" t="str">
        <f t="shared" si="86"/>
        <v/>
      </c>
      <c r="G1656" s="19"/>
      <c r="H1656" s="19"/>
      <c r="I1656" s="19"/>
      <c r="J1656" s="19"/>
      <c r="K1656" s="233"/>
    </row>
    <row r="1657" spans="1:11" ht="12" customHeight="1">
      <c r="A1657" s="219" t="n" cm="1">
        <f t="array" ref="A1657">IFERROR(INDEX('03.Muestra'!$B$8:$B$42,SMALL(IF("Página Web"='03.Muestra'!$D$8:$D$42,ROW('03.Muestra'!$B$8:$B$42)-MIN(ROW('03.Muestra'!$D$8:$D$42))+1,""),ROW()-1652)),"")</f>
        <v>1.0</v>
      </c>
      <c r="B1657" s="114" t="str" cm="1">
        <f t="array" ref="B1657">IFERROR(INDEX('03.Muestra'!$C$8:$C$42,SMALL(IF("Página Web"='03.Muestra'!$D$8:$D$42,ROW('03.Muestra'!$C$8:$C$42)-MIN(ROW('03.Muestra'!$D$8:$D$42))+1,""),ROW()-1652)),"")</f>
        <v>Home - PortCastelló</v>
      </c>
      <c r="C1657" s="114" t="str" cm="1">
        <f t="array" ref="C1657">IFERROR(INDEX('03.Muestra'!$F$8:$F$42,SMALL(IF("Página Web"='03.Muestra'!$D$8:$D$42,ROW('03.Muestra'!$F$8:$F$42)-MIN(ROW('03.Muestra'!$D$8:$D$42))+1,""),ROW()-1652)),"")</f>
        <v>https://www.portcastello.com/</v>
      </c>
      <c r="D1657" s="130" t="s">
        <v>37</v>
      </c>
      <c r="E1657" s="107" t="str">
        <f t="shared" si="86"/>
        <v/>
      </c>
      <c r="G1657" s="19"/>
      <c r="H1657" s="19"/>
      <c r="I1657" s="19"/>
      <c r="J1657" s="19"/>
      <c r="K1657" s="233"/>
    </row>
    <row r="1658" spans="1:11" ht="12" customHeight="1">
      <c r="A1658" s="219" t="n" cm="1">
        <f t="array" ref="A1658">IFERROR(INDEX('03.Muestra'!$B$8:$B$42,SMALL(IF("Página Web"='03.Muestra'!$D$8:$D$42,ROW('03.Muestra'!$B$8:$B$42)-MIN(ROW('03.Muestra'!$D$8:$D$42))+1,""),ROW()-1652)),"")</f>
        <v>1.0</v>
      </c>
      <c r="B1658" s="114" t="str" cm="1">
        <f t="array" ref="B1658">IFERROR(INDEX('03.Muestra'!$C$8:$C$42,SMALL(IF("Página Web"='03.Muestra'!$D$8:$D$42,ROW('03.Muestra'!$C$8:$C$42)-MIN(ROW('03.Muestra'!$D$8:$D$42))+1,""),ROW()-1652)),"")</f>
        <v>Home - PortCastelló</v>
      </c>
      <c r="C1658" s="114" t="str" cm="1">
        <f t="array" ref="C1658">IFERROR(INDEX('03.Muestra'!$F$8:$F$42,SMALL(IF("Página Web"='03.Muestra'!$D$8:$D$42,ROW('03.Muestra'!$F$8:$F$42)-MIN(ROW('03.Muestra'!$D$8:$D$42))+1,""),ROW()-1652)),"")</f>
        <v>https://www.portcastello.com/</v>
      </c>
      <c r="D1658" s="130" t="s">
        <v>37</v>
      </c>
      <c r="E1658" s="107" t="str">
        <f t="shared" si="86"/>
        <v/>
      </c>
      <c r="G1658" s="19"/>
      <c r="H1658" s="19"/>
      <c r="I1658" s="19"/>
      <c r="J1658" s="19"/>
      <c r="K1658" s="233"/>
    </row>
    <row r="1659" spans="1:11" ht="12" customHeight="1">
      <c r="A1659" s="219" t="n" cm="1">
        <f t="array" ref="A1659">IFERROR(INDEX('03.Muestra'!$B$8:$B$42,SMALL(IF("Página Web"='03.Muestra'!$D$8:$D$42,ROW('03.Muestra'!$B$8:$B$42)-MIN(ROW('03.Muestra'!$D$8:$D$42))+1,""),ROW()-1652)),"")</f>
        <v>1.0</v>
      </c>
      <c r="B1659" s="114" t="str" cm="1">
        <f t="array" ref="B1659">IFERROR(INDEX('03.Muestra'!$C$8:$C$42,SMALL(IF("Página Web"='03.Muestra'!$D$8:$D$42,ROW('03.Muestra'!$C$8:$C$42)-MIN(ROW('03.Muestra'!$D$8:$D$42))+1,""),ROW()-1652)),"")</f>
        <v>Home - PortCastelló</v>
      </c>
      <c r="C1659" s="114" t="str" cm="1">
        <f t="array" ref="C1659">IFERROR(INDEX('03.Muestra'!$F$8:$F$42,SMALL(IF("Página Web"='03.Muestra'!$D$8:$D$42,ROW('03.Muestra'!$F$8:$F$42)-MIN(ROW('03.Muestra'!$D$8:$D$42))+1,""),ROW()-1652)),"")</f>
        <v>https://www.portcastello.com/</v>
      </c>
      <c r="D1659" s="130" t="s">
        <v>37</v>
      </c>
      <c r="E1659" s="107" t="str">
        <f t="shared" si="86"/>
        <v/>
      </c>
      <c r="F1659" s="19"/>
      <c r="G1659" s="19"/>
      <c r="H1659" s="19"/>
      <c r="I1659" s="19"/>
      <c r="J1659" s="19"/>
      <c r="K1659" s="233"/>
    </row>
    <row r="1660" spans="1:11" ht="12" customHeight="1">
      <c r="A1660" s="219" t="n" cm="1">
        <f t="array" ref="A1660">IFERROR(INDEX('03.Muestra'!$B$8:$B$42,SMALL(IF("Página Web"='03.Muestra'!$D$8:$D$42,ROW('03.Muestra'!$B$8:$B$42)-MIN(ROW('03.Muestra'!$D$8:$D$42))+1,""),ROW()-1652)),"")</f>
        <v>1.0</v>
      </c>
      <c r="B1660" s="114" t="str" cm="1">
        <f t="array" ref="B1660">IFERROR(INDEX('03.Muestra'!$C$8:$C$42,SMALL(IF("Página Web"='03.Muestra'!$D$8:$D$42,ROW('03.Muestra'!$C$8:$C$42)-MIN(ROW('03.Muestra'!$D$8:$D$42))+1,""),ROW()-1652)),"")</f>
        <v>Home - PortCastelló</v>
      </c>
      <c r="C1660" s="114" t="str" cm="1">
        <f t="array" ref="C1660">IFERROR(INDEX('03.Muestra'!$F$8:$F$42,SMALL(IF("Página Web"='03.Muestra'!$D$8:$D$42,ROW('03.Muestra'!$F$8:$F$42)-MIN(ROW('03.Muestra'!$D$8:$D$42))+1,""),ROW()-1652)),"")</f>
        <v>https://www.portcastello.com/</v>
      </c>
      <c r="D1660" s="130" t="s">
        <v>37</v>
      </c>
      <c r="E1660" s="107" t="str">
        <f t="shared" si="86"/>
        <v/>
      </c>
      <c r="F1660" s="19"/>
      <c r="G1660" s="19"/>
      <c r="H1660" s="19"/>
      <c r="I1660" s="19"/>
      <c r="J1660" s="19"/>
      <c r="K1660" s="233"/>
    </row>
    <row r="1661" spans="1:11" ht="12" customHeight="1">
      <c r="A1661" s="219" t="n" cm="1">
        <f t="array" ref="A1661">IFERROR(INDEX('03.Muestra'!$B$8:$B$42,SMALL(IF("Página Web"='03.Muestra'!$D$8:$D$42,ROW('03.Muestra'!$B$8:$B$42)-MIN(ROW('03.Muestra'!$D$8:$D$42))+1,""),ROW()-1652)),"")</f>
        <v>1.0</v>
      </c>
      <c r="B1661" s="114" t="str" cm="1">
        <f t="array" ref="B1661">IFERROR(INDEX('03.Muestra'!$C$8:$C$42,SMALL(IF("Página Web"='03.Muestra'!$D$8:$D$42,ROW('03.Muestra'!$C$8:$C$42)-MIN(ROW('03.Muestra'!$D$8:$D$42))+1,""),ROW()-1652)),"")</f>
        <v>Home - PortCastelló</v>
      </c>
      <c r="C1661" s="114" t="str" cm="1">
        <f t="array" ref="C1661">IFERROR(INDEX('03.Muestra'!$F$8:$F$42,SMALL(IF("Página Web"='03.Muestra'!$D$8:$D$42,ROW('03.Muestra'!$F$8:$F$42)-MIN(ROW('03.Muestra'!$D$8:$D$42))+1,""),ROW()-1652)),"")</f>
        <v>https://www.portcastello.com/</v>
      </c>
      <c r="D1661" s="130" t="s">
        <v>37</v>
      </c>
      <c r="E1661" s="107" t="str">
        <f t="shared" si="86"/>
        <v/>
      </c>
      <c r="F1661" s="19"/>
      <c r="G1661" s="19"/>
      <c r="H1661" s="19"/>
      <c r="I1661" s="19"/>
      <c r="J1661" s="19"/>
      <c r="K1661" s="233"/>
    </row>
    <row r="1662" spans="1:11" ht="12" customHeight="1">
      <c r="A1662" s="219" t="n"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Home - PortCastelló</v>
      </c>
      <c r="C1662" s="114" t="str" cm="1">
        <f t="array" ref="C1662">IFERROR(INDEX('03.Muestra'!$F$8:$F$42,SMALL(IF("Página Web"='03.Muestra'!$D$8:$D$42,ROW('03.Muestra'!$F$8:$F$42)-MIN(ROW('03.Muestra'!$D$8:$D$42))+1,""),ROW()-1652)),"")</f>
        <v>https://www.portcastello.com/</v>
      </c>
      <c r="D1662" s="130" t="s">
        <v>37</v>
      </c>
      <c r="E1662" s="107" t="str">
        <f t="shared" si="86"/>
        <v/>
      </c>
      <c r="F1662" s="19"/>
      <c r="G1662" s="19"/>
      <c r="H1662" s="19"/>
      <c r="I1662" s="19"/>
      <c r="J1662" s="19"/>
      <c r="K1662" s="233"/>
    </row>
    <row r="1663" spans="1:11" ht="12" customHeight="1">
      <c r="A1663" s="219" t="n" cm="1">
        <f t="array" ref="A1663">IFERROR(INDEX('03.Muestra'!$B$8:$B$42,SMALL(IF("Página Web"='03.Muestra'!$D$8:$D$42,ROW('03.Muestra'!$B$8:$B$42)-MIN(ROW('03.Muestra'!$D$8:$D$42))+1,""),ROW()-1652)),"")</f>
        <v>1.0</v>
      </c>
      <c r="B1663" s="114" t="str" cm="1">
        <f t="array" ref="B1663">IFERROR(INDEX('03.Muestra'!$C$8:$C$42,SMALL(IF("Página Web"='03.Muestra'!$D$8:$D$42,ROW('03.Muestra'!$C$8:$C$42)-MIN(ROW('03.Muestra'!$D$8:$D$42))+1,""),ROW()-1652)),"")</f>
        <v>Home - PortCastelló</v>
      </c>
      <c r="C1663" s="114" t="str" cm="1">
        <f t="array" ref="C1663">IFERROR(INDEX('03.Muestra'!$F$8:$F$42,SMALL(IF("Página Web"='03.Muestra'!$D$8:$D$42,ROW('03.Muestra'!$F$8:$F$42)-MIN(ROW('03.Muestra'!$D$8:$D$42))+1,""),ROW()-1652)),"")</f>
        <v>https://www.portcastello.com/</v>
      </c>
      <c r="D1663" s="130" t="s">
        <v>37</v>
      </c>
      <c r="E1663" s="107" t="str">
        <f t="shared" si="86"/>
        <v/>
      </c>
      <c r="F1663" s="19"/>
      <c r="G1663" s="19"/>
      <c r="H1663" s="19"/>
      <c r="I1663" s="19"/>
      <c r="J1663" s="19"/>
      <c r="K1663" s="233"/>
    </row>
    <row r="1664" spans="1:11" ht="12" customHeight="1">
      <c r="A1664" s="219" t="n" cm="1">
        <f t="array" ref="A1664">IFERROR(INDEX('03.Muestra'!$B$8:$B$42,SMALL(IF("Página Web"='03.Muestra'!$D$8:$D$42,ROW('03.Muestra'!$B$8:$B$42)-MIN(ROW('03.Muestra'!$D$8:$D$42))+1,""),ROW()-1652)),"")</f>
        <v>1.0</v>
      </c>
      <c r="B1664" s="114" t="str" cm="1">
        <f t="array" ref="B1664">IFERROR(INDEX('03.Muestra'!$C$8:$C$42,SMALL(IF("Página Web"='03.Muestra'!$D$8:$D$42,ROW('03.Muestra'!$C$8:$C$42)-MIN(ROW('03.Muestra'!$D$8:$D$42))+1,""),ROW()-1652)),"")</f>
        <v>Home - PortCastelló</v>
      </c>
      <c r="C1664" s="114" t="str" cm="1">
        <f t="array" ref="C1664">IFERROR(INDEX('03.Muestra'!$F$8:$F$42,SMALL(IF("Página Web"='03.Muestra'!$D$8:$D$42,ROW('03.Muestra'!$F$8:$F$42)-MIN(ROW('03.Muestra'!$D$8:$D$42))+1,""),ROW()-1652)),"")</f>
        <v>https://www.portcastello.com/</v>
      </c>
      <c r="D1664" s="130" t="s">
        <v>37</v>
      </c>
      <c r="E1664" s="107" t="str">
        <f t="shared" si="86"/>
        <v/>
      </c>
      <c r="F1664" s="19"/>
      <c r="G1664" s="19"/>
      <c r="H1664" s="19"/>
      <c r="I1664" s="19"/>
      <c r="J1664" s="19"/>
      <c r="K1664" s="233"/>
    </row>
    <row r="1665" spans="1:11" ht="12" customHeight="1">
      <c r="A1665" s="219" t="n" cm="1">
        <f t="array" ref="A1665">IFERROR(INDEX('03.Muestra'!$B$8:$B$42,SMALL(IF("Página Web"='03.Muestra'!$D$8:$D$42,ROW('03.Muestra'!$B$8:$B$42)-MIN(ROW('03.Muestra'!$D$8:$D$42))+1,""),ROW()-1652)),"")</f>
        <v>1.0</v>
      </c>
      <c r="B1665" s="114" t="str" cm="1">
        <f t="array" ref="B1665">IFERROR(INDEX('03.Muestra'!$C$8:$C$42,SMALL(IF("Página Web"='03.Muestra'!$D$8:$D$42,ROW('03.Muestra'!$C$8:$C$42)-MIN(ROW('03.Muestra'!$D$8:$D$42))+1,""),ROW()-1652)),"")</f>
        <v>Home - PortCastelló</v>
      </c>
      <c r="C1665" s="114" t="str" cm="1">
        <f t="array" ref="C1665">IFERROR(INDEX('03.Muestra'!$F$8:$F$42,SMALL(IF("Página Web"='03.Muestra'!$D$8:$D$42,ROW('03.Muestra'!$F$8:$F$42)-MIN(ROW('03.Muestra'!$D$8:$D$42))+1,""),ROW()-1652)),"")</f>
        <v>https://www.portcastello.com/</v>
      </c>
      <c r="D1665" s="130" t="s">
        <v>37</v>
      </c>
      <c r="E1665" s="107" t="str">
        <f t="shared" si="86"/>
        <v/>
      </c>
      <c r="F1665" s="19"/>
      <c r="G1665" s="19"/>
      <c r="H1665" s="19"/>
      <c r="I1665" s="19"/>
      <c r="J1665" s="19"/>
      <c r="K1665" s="233"/>
    </row>
    <row r="1666" spans="1:11" ht="12" customHeight="1">
      <c r="A1666" s="219" t="n" cm="1">
        <f t="array" ref="A1666">IFERROR(INDEX('03.Muestra'!$B$8:$B$42,SMALL(IF("Página Web"='03.Muestra'!$D$8:$D$42,ROW('03.Muestra'!$B$8:$B$42)-MIN(ROW('03.Muestra'!$D$8:$D$42))+1,""),ROW()-1652)),"")</f>
        <v>1.0</v>
      </c>
      <c r="B1666" s="114" t="str" cm="1">
        <f t="array" ref="B1666">IFERROR(INDEX('03.Muestra'!$C$8:$C$42,SMALL(IF("Página Web"='03.Muestra'!$D$8:$D$42,ROW('03.Muestra'!$C$8:$C$42)-MIN(ROW('03.Muestra'!$D$8:$D$42))+1,""),ROW()-1652)),"")</f>
        <v>Home - PortCastelló</v>
      </c>
      <c r="C1666" s="114" t="str" cm="1">
        <f t="array" ref="C1666">IFERROR(INDEX('03.Muestra'!$F$8:$F$42,SMALL(IF("Página Web"='03.Muestra'!$D$8:$D$42,ROW('03.Muestra'!$F$8:$F$42)-MIN(ROW('03.Muestra'!$D$8:$D$42))+1,""),ROW()-1652)),"")</f>
        <v>https://www.portcastello.com/</v>
      </c>
      <c r="D1666" s="130" t="s">
        <v>37</v>
      </c>
      <c r="E1666" s="107" t="str">
        <f t="shared" si="86"/>
        <v/>
      </c>
      <c r="F1666" s="19"/>
      <c r="G1666" s="19"/>
      <c r="H1666" s="19"/>
      <c r="I1666" s="19"/>
      <c r="J1666" s="19"/>
      <c r="K1666" s="233"/>
    </row>
    <row r="1667" spans="1:11" ht="12" customHeight="1">
      <c r="A1667" s="219" t="n" cm="1">
        <f t="array" ref="A1667">IFERROR(INDEX('03.Muestra'!$B$8:$B$42,SMALL(IF("Página Web"='03.Muestra'!$D$8:$D$42,ROW('03.Muestra'!$B$8:$B$42)-MIN(ROW('03.Muestra'!$D$8:$D$42))+1,""),ROW()-1652)),"")</f>
        <v>1.0</v>
      </c>
      <c r="B1667" s="114" t="str" cm="1">
        <f t="array" ref="B1667">IFERROR(INDEX('03.Muestra'!$C$8:$C$42,SMALL(IF("Página Web"='03.Muestra'!$D$8:$D$42,ROW('03.Muestra'!$C$8:$C$42)-MIN(ROW('03.Muestra'!$D$8:$D$42))+1,""),ROW()-1652)),"")</f>
        <v>Home - PortCastelló</v>
      </c>
      <c r="C1667" s="114" t="str" cm="1">
        <f t="array" ref="C1667">IFERROR(INDEX('03.Muestra'!$F$8:$F$42,SMALL(IF("Página Web"='03.Muestra'!$D$8:$D$42,ROW('03.Muestra'!$F$8:$F$42)-MIN(ROW('03.Muestra'!$D$8:$D$42))+1,""),ROW()-1652)),"")</f>
        <v>https://www.portcastello.com/</v>
      </c>
      <c r="D1667" s="130" t="s">
        <v>37</v>
      </c>
      <c r="E1667" s="107" t="str">
        <f t="shared" si="86"/>
        <v/>
      </c>
      <c r="F1667" s="19"/>
      <c r="G1667" s="19"/>
      <c r="H1667" s="19"/>
      <c r="I1667" s="19"/>
      <c r="J1667" s="19"/>
      <c r="K1667" s="233"/>
    </row>
    <row r="1668" spans="1:11" ht="12" customHeight="1">
      <c r="A1668" s="219" t="n" cm="1">
        <f t="array" ref="A1668">IFERROR(INDEX('03.Muestra'!$B$8:$B$42,SMALL(IF("Página Web"='03.Muestra'!$D$8:$D$42,ROW('03.Muestra'!$B$8:$B$42)-MIN(ROW('03.Muestra'!$D$8:$D$42))+1,""),ROW()-1652)),"")</f>
        <v>1.0</v>
      </c>
      <c r="B1668" s="114" t="str" cm="1">
        <f t="array" ref="B1668">IFERROR(INDEX('03.Muestra'!$C$8:$C$42,SMALL(IF("Página Web"='03.Muestra'!$D$8:$D$42,ROW('03.Muestra'!$C$8:$C$42)-MIN(ROW('03.Muestra'!$D$8:$D$42))+1,""),ROW()-1652)),"")</f>
        <v>Home - PortCastelló</v>
      </c>
      <c r="C1668" s="114" t="str" cm="1">
        <f t="array" ref="C1668">IFERROR(INDEX('03.Muestra'!$F$8:$F$42,SMALL(IF("Página Web"='03.Muestra'!$D$8:$D$42,ROW('03.Muestra'!$F$8:$F$42)-MIN(ROW('03.Muestra'!$D$8:$D$42))+1,""),ROW()-1652)),"")</f>
        <v>https://www.portcastello.com/</v>
      </c>
      <c r="D1668" s="130" t="s">
        <v>37</v>
      </c>
      <c r="E1668" s="107" t="str">
        <f t="shared" si="86"/>
        <v/>
      </c>
      <c r="F1668" s="19"/>
      <c r="G1668" s="19"/>
      <c r="H1668" s="19"/>
      <c r="I1668" s="19"/>
      <c r="J1668" s="19"/>
      <c r="K1668" s="233"/>
    </row>
    <row r="1669" spans="1:11" ht="12" customHeight="1">
      <c r="A1669" s="219" t="n" cm="1">
        <f t="array" ref="A1669">IFERROR(INDEX('03.Muestra'!$B$8:$B$42,SMALL(IF("Página Web"='03.Muestra'!$D$8:$D$42,ROW('03.Muestra'!$B$8:$B$42)-MIN(ROW('03.Muestra'!$D$8:$D$42))+1,""),ROW()-1652)),"")</f>
        <v>1.0</v>
      </c>
      <c r="B1669" s="114" t="str" cm="1">
        <f t="array" ref="B1669">IFERROR(INDEX('03.Muestra'!$C$8:$C$42,SMALL(IF("Página Web"='03.Muestra'!$D$8:$D$42,ROW('03.Muestra'!$C$8:$C$42)-MIN(ROW('03.Muestra'!$D$8:$D$42))+1,""),ROW()-1652)),"")</f>
        <v>Home - PortCastelló</v>
      </c>
      <c r="C1669" s="114" t="str" cm="1">
        <f t="array" ref="C1669">IFERROR(INDEX('03.Muestra'!$F$8:$F$42,SMALL(IF("Página Web"='03.Muestra'!$D$8:$D$42,ROW('03.Muestra'!$F$8:$F$42)-MIN(ROW('03.Muestra'!$D$8:$D$42))+1,""),ROW()-1652)),"")</f>
        <v>https://www.portcastello.com/</v>
      </c>
      <c r="D1669" s="130" t="s">
        <v>37</v>
      </c>
      <c r="E1669" s="107" t="str">
        <f t="shared" si="86"/>
        <v/>
      </c>
      <c r="F1669" s="19"/>
      <c r="G1669" s="19"/>
      <c r="H1669" s="19"/>
      <c r="I1669" s="19"/>
      <c r="J1669" s="19"/>
      <c r="K1669" s="233"/>
    </row>
    <row r="1670" spans="1:11" ht="12" customHeight="1">
      <c r="A1670" s="219" t="n" cm="1">
        <f t="array" ref="A1670">IFERROR(INDEX('03.Muestra'!$B$8:$B$42,SMALL(IF("Página Web"='03.Muestra'!$D$8:$D$42,ROW('03.Muestra'!$B$8:$B$42)-MIN(ROW('03.Muestra'!$D$8:$D$42))+1,""),ROW()-1652)),"")</f>
        <v>1.0</v>
      </c>
      <c r="B1670" s="114" t="str" cm="1">
        <f t="array" ref="B1670">IFERROR(INDEX('03.Muestra'!$C$8:$C$42,SMALL(IF("Página Web"='03.Muestra'!$D$8:$D$42,ROW('03.Muestra'!$C$8:$C$42)-MIN(ROW('03.Muestra'!$D$8:$D$42))+1,""),ROW()-1652)),"")</f>
        <v>Home - PortCastelló</v>
      </c>
      <c r="C1670" s="114" t="str" cm="1">
        <f t="array" ref="C1670">IFERROR(INDEX('03.Muestra'!$F$8:$F$42,SMALL(IF("Página Web"='03.Muestra'!$D$8:$D$42,ROW('03.Muestra'!$F$8:$F$42)-MIN(ROW('03.Muestra'!$D$8:$D$42))+1,""),ROW()-1652)),"")</f>
        <v>https://www.portcastello.com/</v>
      </c>
      <c r="D1670" s="130" t="s">
        <v>37</v>
      </c>
      <c r="E1670" s="107" t="str">
        <f t="shared" si="86"/>
        <v/>
      </c>
      <c r="F1670" s="19"/>
      <c r="G1670" s="19"/>
      <c r="H1670" s="19"/>
      <c r="I1670" s="19"/>
      <c r="J1670" s="19"/>
      <c r="K1670" s="233"/>
    </row>
    <row r="1671" spans="1:11" ht="12" customHeight="1">
      <c r="A1671" s="219" t="n" cm="1">
        <f t="array" ref="A1671">IFERROR(INDEX('03.Muestra'!$B$8:$B$42,SMALL(IF("Página Web"='03.Muestra'!$D$8:$D$42,ROW('03.Muestra'!$B$8:$B$42)-MIN(ROW('03.Muestra'!$D$8:$D$42))+1,""),ROW()-1652)),"")</f>
        <v>1.0</v>
      </c>
      <c r="B1671" s="114" t="str" cm="1">
        <f t="array" ref="B1671">IFERROR(INDEX('03.Muestra'!$C$8:$C$42,SMALL(IF("Página Web"='03.Muestra'!$D$8:$D$42,ROW('03.Muestra'!$C$8:$C$42)-MIN(ROW('03.Muestra'!$D$8:$D$42))+1,""),ROW()-1652)),"")</f>
        <v>Home - PortCastelló</v>
      </c>
      <c r="C1671" s="114" t="str" cm="1">
        <f t="array" ref="C1671">IFERROR(INDEX('03.Muestra'!$F$8:$F$42,SMALL(IF("Página Web"='03.Muestra'!$D$8:$D$42,ROW('03.Muestra'!$F$8:$F$42)-MIN(ROW('03.Muestra'!$D$8:$D$42))+1,""),ROW()-1652)),"")</f>
        <v>https://www.portcastello.com/</v>
      </c>
      <c r="D1671" s="130" t="s">
        <v>37</v>
      </c>
      <c r="E1671" s="107" t="str">
        <f t="shared" si="86"/>
        <v/>
      </c>
      <c r="F1671" s="19"/>
      <c r="G1671" s="19"/>
      <c r="H1671" s="19"/>
      <c r="I1671" s="19"/>
      <c r="J1671" s="19"/>
      <c r="K1671" s="233"/>
    </row>
    <row r="1672" spans="1:11" ht="12" customHeight="1">
      <c r="A1672" s="219" t="n" cm="1">
        <f t="array" ref="A1672">IFERROR(INDEX('03.Muestra'!$B$8:$B$42,SMALL(IF("Página Web"='03.Muestra'!$D$8:$D$42,ROW('03.Muestra'!$B$8:$B$42)-MIN(ROW('03.Muestra'!$D$8:$D$42))+1,""),ROW()-1652)),"")</f>
        <v>1.0</v>
      </c>
      <c r="B1672" s="114" t="str" cm="1">
        <f t="array" ref="B1672">IFERROR(INDEX('03.Muestra'!$C$8:$C$42,SMALL(IF("Página Web"='03.Muestra'!$D$8:$D$42,ROW('03.Muestra'!$C$8:$C$42)-MIN(ROW('03.Muestra'!$D$8:$D$42))+1,""),ROW()-1652)),"")</f>
        <v>Home - PortCastelló</v>
      </c>
      <c r="C1672" s="114" t="str" cm="1">
        <f t="array" ref="C1672">IFERROR(INDEX('03.Muestra'!$F$8:$F$42,SMALL(IF("Página Web"='03.Muestra'!$D$8:$D$42,ROW('03.Muestra'!$F$8:$F$42)-MIN(ROW('03.Muestra'!$D$8:$D$42))+1,""),ROW()-1652)),"")</f>
        <v>https://www.portcastello.com/</v>
      </c>
      <c r="D1672" s="130" t="s">
        <v>37</v>
      </c>
      <c r="E1672" s="107" t="str">
        <f t="shared" si="86"/>
        <v/>
      </c>
      <c r="F1672" s="19"/>
      <c r="G1672" s="19"/>
      <c r="H1672" s="19"/>
      <c r="I1672" s="19"/>
      <c r="J1672" s="19"/>
      <c r="K1672" s="233"/>
    </row>
    <row r="1673" spans="1:11" ht="12" customHeight="1">
      <c r="A1673" s="219" t="n" cm="1">
        <f t="array" ref="A1673">IFERROR(INDEX('03.Muestra'!$B$8:$B$42,SMALL(IF("Página Web"='03.Muestra'!$D$8:$D$42,ROW('03.Muestra'!$B$8:$B$42)-MIN(ROW('03.Muestra'!$D$8:$D$42))+1,""),ROW()-1652)),"")</f>
        <v>1.0</v>
      </c>
      <c r="B1673" s="114" t="str" cm="1">
        <f t="array" ref="B1673">IFERROR(INDEX('03.Muestra'!$C$8:$C$42,SMALL(IF("Página Web"='03.Muestra'!$D$8:$D$42,ROW('03.Muestra'!$C$8:$C$42)-MIN(ROW('03.Muestra'!$D$8:$D$42))+1,""),ROW()-1652)),"")</f>
        <v>Home - PortCastelló</v>
      </c>
      <c r="C1673" s="114" t="str" cm="1">
        <f t="array" ref="C1673">IFERROR(INDEX('03.Muestra'!$F$8:$F$42,SMALL(IF("Página Web"='03.Muestra'!$D$8:$D$42,ROW('03.Muestra'!$F$8:$F$42)-MIN(ROW('03.Muestra'!$D$8:$D$42))+1,""),ROW()-1652)),"")</f>
        <v>https://www.portcastello.com/</v>
      </c>
      <c r="D1673" s="130" t="s">
        <v>37</v>
      </c>
      <c r="E1673" s="107" t="str">
        <f t="shared" si="86"/>
        <v/>
      </c>
      <c r="F1673" s="19"/>
      <c r="G1673" s="19"/>
      <c r="H1673" s="19"/>
      <c r="I1673" s="19"/>
      <c r="J1673" s="19"/>
      <c r="K1673" s="233"/>
    </row>
    <row r="1674" spans="1:11" ht="12" customHeight="1">
      <c r="A1674" s="219" t="n" cm="1">
        <f t="array" ref="A1674">IFERROR(INDEX('03.Muestra'!$B$8:$B$42,SMALL(IF("Página Web"='03.Muestra'!$D$8:$D$42,ROW('03.Muestra'!$B$8:$B$42)-MIN(ROW('03.Muestra'!$D$8:$D$42))+1,""),ROW()-1652)),"")</f>
        <v>1.0</v>
      </c>
      <c r="B1674" s="114" t="str" cm="1">
        <f t="array" ref="B1674">IFERROR(INDEX('03.Muestra'!$C$8:$C$42,SMALL(IF("Página Web"='03.Muestra'!$D$8:$D$42,ROW('03.Muestra'!$C$8:$C$42)-MIN(ROW('03.Muestra'!$D$8:$D$42))+1,""),ROW()-1652)),"")</f>
        <v>Home - PortCastelló</v>
      </c>
      <c r="C1674" s="114" t="str" cm="1">
        <f t="array" ref="C1674">IFERROR(INDEX('03.Muestra'!$F$8:$F$42,SMALL(IF("Página Web"='03.Muestra'!$D$8:$D$42,ROW('03.Muestra'!$F$8:$F$42)-MIN(ROW('03.Muestra'!$D$8:$D$42))+1,""),ROW()-1652)),"")</f>
        <v>https://www.portcastello.com/</v>
      </c>
      <c r="D1674" s="130" t="s">
        <v>37</v>
      </c>
      <c r="E1674" s="107" t="str">
        <f t="shared" si="86"/>
        <v/>
      </c>
      <c r="F1674" s="19"/>
      <c r="G1674" s="19"/>
      <c r="H1674" s="19"/>
      <c r="I1674" s="19"/>
      <c r="J1674" s="19"/>
      <c r="K1674" s="233"/>
    </row>
    <row r="1675" spans="1:11" ht="12" customHeight="1">
      <c r="A1675" s="219" t="n" cm="1">
        <f t="array" ref="A1675">IFERROR(INDEX('03.Muestra'!$B$8:$B$42,SMALL(IF("Página Web"='03.Muestra'!$D$8:$D$42,ROW('03.Muestra'!$B$8:$B$42)-MIN(ROW('03.Muestra'!$D$8:$D$42))+1,""),ROW()-1652)),"")</f>
        <v>1.0</v>
      </c>
      <c r="B1675" s="114" t="str" cm="1">
        <f t="array" ref="B1675">IFERROR(INDEX('03.Muestra'!$C$8:$C$42,SMALL(IF("Página Web"='03.Muestra'!$D$8:$D$42,ROW('03.Muestra'!$C$8:$C$42)-MIN(ROW('03.Muestra'!$D$8:$D$42))+1,""),ROW()-1652)),"")</f>
        <v>Home - PortCastelló</v>
      </c>
      <c r="C1675" s="114" t="str" cm="1">
        <f t="array" ref="C1675">IFERROR(INDEX('03.Muestra'!$F$8:$F$42,SMALL(IF("Página Web"='03.Muestra'!$D$8:$D$42,ROW('03.Muestra'!$F$8:$F$42)-MIN(ROW('03.Muestra'!$D$8:$D$42))+1,""),ROW()-1652)),"")</f>
        <v>https://www.portcastello.com/</v>
      </c>
      <c r="D1675" s="130" t="s">
        <v>37</v>
      </c>
      <c r="E1675" s="107" t="str">
        <f t="shared" si="86"/>
        <v/>
      </c>
      <c r="F1675" s="19"/>
      <c r="G1675" s="19"/>
      <c r="H1675" s="19"/>
      <c r="I1675" s="19"/>
      <c r="J1675" s="19"/>
      <c r="K1675" s="233"/>
    </row>
    <row r="1676" spans="1:11" ht="12" customHeight="1">
      <c r="A1676" s="219" t="n" cm="1">
        <f t="array" ref="A1676">IFERROR(INDEX('03.Muestra'!$B$8:$B$42,SMALL(IF("Página Web"='03.Muestra'!$D$8:$D$42,ROW('03.Muestra'!$B$8:$B$42)-MIN(ROW('03.Muestra'!$D$8:$D$42))+1,""),ROW()-1652)),"")</f>
        <v>1.0</v>
      </c>
      <c r="B1676" s="114" t="str" cm="1">
        <f t="array" ref="B1676">IFERROR(INDEX('03.Muestra'!$C$8:$C$42,SMALL(IF("Página Web"='03.Muestra'!$D$8:$D$42,ROW('03.Muestra'!$C$8:$C$42)-MIN(ROW('03.Muestra'!$D$8:$D$42))+1,""),ROW()-1652)),"")</f>
        <v>Home - PortCastelló</v>
      </c>
      <c r="C1676" s="114" t="str" cm="1">
        <f t="array" ref="C1676">IFERROR(INDEX('03.Muestra'!$F$8:$F$42,SMALL(IF("Página Web"='03.Muestra'!$D$8:$D$42,ROW('03.Muestra'!$F$8:$F$42)-MIN(ROW('03.Muestra'!$D$8:$D$42))+1,""),ROW()-1652)),"")</f>
        <v>https://www.portcastello.com/</v>
      </c>
      <c r="D1676" s="130" t="s">
        <v>37</v>
      </c>
      <c r="E1676" s="107" t="str">
        <f t="shared" si="86"/>
        <v/>
      </c>
      <c r="F1676" s="19"/>
      <c r="G1676" s="19"/>
      <c r="H1676" s="19"/>
      <c r="I1676" s="19"/>
      <c r="J1676" s="19"/>
      <c r="K1676" s="233"/>
    </row>
    <row r="1677" spans="1:11" ht="12" customHeight="1">
      <c r="A1677" s="219" t="n" cm="1">
        <f t="array" ref="A1677">IFERROR(INDEX('03.Muestra'!$B$8:$B$42,SMALL(IF("Página Web"='03.Muestra'!$D$8:$D$42,ROW('03.Muestra'!$B$8:$B$42)-MIN(ROW('03.Muestra'!$D$8:$D$42))+1,""),ROW()-1652)),"")</f>
        <v>1.0</v>
      </c>
      <c r="B1677" s="114" t="str" cm="1">
        <f t="array" ref="B1677">IFERROR(INDEX('03.Muestra'!$C$8:$C$42,SMALL(IF("Página Web"='03.Muestra'!$D$8:$D$42,ROW('03.Muestra'!$C$8:$C$42)-MIN(ROW('03.Muestra'!$D$8:$D$42))+1,""),ROW()-1652)),"")</f>
        <v>Home - PortCastelló</v>
      </c>
      <c r="C1677" s="114" t="str" cm="1">
        <f t="array" ref="C1677">IFERROR(INDEX('03.Muestra'!$F$8:$F$42,SMALL(IF("Página Web"='03.Muestra'!$D$8:$D$42,ROW('03.Muestra'!$F$8:$F$42)-MIN(ROW('03.Muestra'!$D$8:$D$42))+1,""),ROW()-1652)),"")</f>
        <v>https://www.portcastello.com/</v>
      </c>
      <c r="D1677" s="130" t="s">
        <v>37</v>
      </c>
      <c r="E1677" s="107" t="str">
        <f t="shared" si="86"/>
        <v/>
      </c>
      <c r="F1677" s="19"/>
      <c r="G1677" s="19"/>
      <c r="H1677" s="19"/>
      <c r="I1677" s="19"/>
      <c r="J1677" s="19"/>
      <c r="K1677" s="233"/>
    </row>
    <row r="1678" spans="1:11" ht="12" customHeight="1">
      <c r="A1678" s="219" t="n" cm="1">
        <f t="array" ref="A1678">IFERROR(INDEX('03.Muestra'!$B$8:$B$42,SMALL(IF("Página Web"='03.Muestra'!$D$8:$D$42,ROW('03.Muestra'!$B$8:$B$42)-MIN(ROW('03.Muestra'!$D$8:$D$42))+1,""),ROW()-1652)),"")</f>
        <v>1.0</v>
      </c>
      <c r="B1678" s="114" t="str" cm="1">
        <f t="array" ref="B1678">IFERROR(INDEX('03.Muestra'!$C$8:$C$42,SMALL(IF("Página Web"='03.Muestra'!$D$8:$D$42,ROW('03.Muestra'!$C$8:$C$42)-MIN(ROW('03.Muestra'!$D$8:$D$42))+1,""),ROW()-1652)),"")</f>
        <v>Home - PortCastelló</v>
      </c>
      <c r="C1678" s="114" t="str" cm="1">
        <f t="array" ref="C1678">IFERROR(INDEX('03.Muestra'!$F$8:$F$42,SMALL(IF("Página Web"='03.Muestra'!$D$8:$D$42,ROW('03.Muestra'!$F$8:$F$42)-MIN(ROW('03.Muestra'!$D$8:$D$42))+1,""),ROW()-1652)),"")</f>
        <v>https://www.portcastello.com/</v>
      </c>
      <c r="D1678" s="130" t="s">
        <v>37</v>
      </c>
      <c r="E1678" s="107" t="str">
        <f t="shared" si="86"/>
        <v/>
      </c>
      <c r="F1678" s="19"/>
      <c r="G1678" s="19"/>
      <c r="H1678" s="19"/>
      <c r="I1678" s="19"/>
      <c r="J1678" s="19"/>
      <c r="K1678" s="233"/>
    </row>
    <row r="1679" spans="1:11" ht="12" customHeight="1">
      <c r="A1679" s="219" t="n" cm="1">
        <f t="array" ref="A1679">IFERROR(INDEX('03.Muestra'!$B$8:$B$42,SMALL(IF("Página Web"='03.Muestra'!$D$8:$D$42,ROW('03.Muestra'!$B$8:$B$42)-MIN(ROW('03.Muestra'!$D$8:$D$42))+1,""),ROW()-1652)),"")</f>
        <v>1.0</v>
      </c>
      <c r="B1679" s="114" t="str" cm="1">
        <f t="array" ref="B1679">IFERROR(INDEX('03.Muestra'!$C$8:$C$42,SMALL(IF("Página Web"='03.Muestra'!$D$8:$D$42,ROW('03.Muestra'!$C$8:$C$42)-MIN(ROW('03.Muestra'!$D$8:$D$42))+1,""),ROW()-1652)),"")</f>
        <v>Home - PortCastelló</v>
      </c>
      <c r="C1679" s="114" t="str" cm="1">
        <f t="array" ref="C1679">IFERROR(INDEX('03.Muestra'!$F$8:$F$42,SMALL(IF("Página Web"='03.Muestra'!$D$8:$D$42,ROW('03.Muestra'!$F$8:$F$42)-MIN(ROW('03.Muestra'!$D$8:$D$42))+1,""),ROW()-1652)),"")</f>
        <v>https://www.portcastello.com/</v>
      </c>
      <c r="D1679" s="130" t="s">
        <v>37</v>
      </c>
      <c r="E1679" s="107" t="str">
        <f t="shared" si="86"/>
        <v/>
      </c>
      <c r="F1679" s="19"/>
      <c r="G1679" s="19"/>
      <c r="H1679" s="19"/>
      <c r="I1679" s="19"/>
      <c r="J1679" s="19"/>
      <c r="K1679" s="233"/>
    </row>
    <row r="1680" spans="1:11" ht="12" customHeight="1">
      <c r="A1680" s="219" t="n" cm="1">
        <f t="array" ref="A1680">IFERROR(INDEX('03.Muestra'!$B$8:$B$42,SMALL(IF("Página Web"='03.Muestra'!$D$8:$D$42,ROW('03.Muestra'!$B$8:$B$42)-MIN(ROW('03.Muestra'!$D$8:$D$42))+1,""),ROW()-1652)),"")</f>
        <v>1.0</v>
      </c>
      <c r="B1680" s="114" t="str" cm="1">
        <f t="array" ref="B1680">IFERROR(INDEX('03.Muestra'!$C$8:$C$42,SMALL(IF("Página Web"='03.Muestra'!$D$8:$D$42,ROW('03.Muestra'!$C$8:$C$42)-MIN(ROW('03.Muestra'!$D$8:$D$42))+1,""),ROW()-1652)),"")</f>
        <v>Home - PortCastelló</v>
      </c>
      <c r="C1680" s="114" t="str" cm="1">
        <f t="array" ref="C1680">IFERROR(INDEX('03.Muestra'!$F$8:$F$42,SMALL(IF("Página Web"='03.Muestra'!$D$8:$D$42,ROW('03.Muestra'!$F$8:$F$42)-MIN(ROW('03.Muestra'!$D$8:$D$42))+1,""),ROW()-1652)),"")</f>
        <v>https://www.portcastello.com/</v>
      </c>
      <c r="D1680" s="130" t="s">
        <v>37</v>
      </c>
      <c r="E1680" s="107" t="str">
        <f t="shared" si="86"/>
        <v/>
      </c>
      <c r="G1680" s="19"/>
      <c r="H1680" s="19"/>
      <c r="I1680" s="19"/>
      <c r="J1680" s="19"/>
      <c r="K1680" s="233"/>
    </row>
    <row r="1681" spans="1:11" ht="12" customHeight="1">
      <c r="A1681" s="219" t="n" cm="1">
        <f t="array" ref="A1681">IFERROR(INDEX('03.Muestra'!$B$8:$B$42,SMALL(IF("Página Web"='03.Muestra'!$D$8:$D$42,ROW('03.Muestra'!$B$8:$B$42)-MIN(ROW('03.Muestra'!$D$8:$D$42))+1,""),ROW()-1652)),"")</f>
        <v>1.0</v>
      </c>
      <c r="B1681" s="114" t="str" cm="1">
        <f t="array" ref="B1681">IFERROR(INDEX('03.Muestra'!$C$8:$C$42,SMALL(IF("Página Web"='03.Muestra'!$D$8:$D$42,ROW('03.Muestra'!$C$8:$C$42)-MIN(ROW('03.Muestra'!$D$8:$D$42))+1,""),ROW()-1652)),"")</f>
        <v>Home - PortCastelló</v>
      </c>
      <c r="C1681" s="114" t="str" cm="1">
        <f t="array" ref="C1681">IFERROR(INDEX('03.Muestra'!$F$8:$F$42,SMALL(IF("Página Web"='03.Muestra'!$D$8:$D$42,ROW('03.Muestra'!$F$8:$F$42)-MIN(ROW('03.Muestra'!$D$8:$D$42))+1,""),ROW()-1652)),"")</f>
        <v>https://www.portcastello.com/</v>
      </c>
      <c r="D1681" s="130" t="s">
        <v>37</v>
      </c>
      <c r="E1681" s="107" t="str">
        <f t="shared" si="86"/>
        <v/>
      </c>
      <c r="G1681" s="19"/>
      <c r="H1681" s="19"/>
      <c r="I1681" s="19"/>
      <c r="J1681" s="19"/>
      <c r="K1681" s="233"/>
    </row>
    <row r="1682" spans="1:11" ht="12" customHeight="1">
      <c r="A1682" s="219" t="n" cm="1">
        <f t="array" ref="A1682">IFERROR(INDEX('03.Muestra'!$B$8:$B$42,SMALL(IF("Página Web"='03.Muestra'!$D$8:$D$42,ROW('03.Muestra'!$B$8:$B$42)-MIN(ROW('03.Muestra'!$D$8:$D$42))+1,""),ROW()-1652)),"")</f>
        <v>1.0</v>
      </c>
      <c r="B1682" s="114" t="str" cm="1">
        <f t="array" ref="B1682">IFERROR(INDEX('03.Muestra'!$C$8:$C$42,SMALL(IF("Página Web"='03.Muestra'!$D$8:$D$42,ROW('03.Muestra'!$C$8:$C$42)-MIN(ROW('03.Muestra'!$D$8:$D$42))+1,""),ROW()-1652)),"")</f>
        <v>Home - PortCastelló</v>
      </c>
      <c r="C1682" s="114" t="str" cm="1">
        <f t="array" ref="C1682">IFERROR(INDEX('03.Muestra'!$F$8:$F$42,SMALL(IF("Página Web"='03.Muestra'!$D$8:$D$42,ROW('03.Muestra'!$F$8:$F$42)-MIN(ROW('03.Muestra'!$D$8:$D$42))+1,""),ROW()-1652)),"")</f>
        <v>https://www.portcastello.com/</v>
      </c>
      <c r="D1682" s="130" t="s">
        <v>37</v>
      </c>
      <c r="E1682" s="107" t="str">
        <f t="shared" si="86"/>
        <v/>
      </c>
      <c r="G1682" s="19"/>
      <c r="H1682" s="19"/>
      <c r="I1682" s="19"/>
      <c r="J1682" s="19"/>
      <c r="K1682" s="233"/>
    </row>
    <row r="1683" spans="1:11" ht="12" customHeight="1">
      <c r="A1683" s="219" t="n" cm="1">
        <f t="array" ref="A1683">IFERROR(INDEX('03.Muestra'!$B$8:$B$42,SMALL(IF("Página Web"='03.Muestra'!$D$8:$D$42,ROW('03.Muestra'!$B$8:$B$42)-MIN(ROW('03.Muestra'!$D$8:$D$42))+1,""),ROW()-1652)),"")</f>
        <v>1.0</v>
      </c>
      <c r="B1683" s="114" t="str" cm="1">
        <f t="array" ref="B1683">IFERROR(INDEX('03.Muestra'!$C$8:$C$42,SMALL(IF("Página Web"='03.Muestra'!$D$8:$D$42,ROW('03.Muestra'!$C$8:$C$42)-MIN(ROW('03.Muestra'!$D$8:$D$42))+1,""),ROW()-1652)),"")</f>
        <v>Home - PortCastelló</v>
      </c>
      <c r="C1683" s="114" t="str" cm="1">
        <f t="array" ref="C1683">IFERROR(INDEX('03.Muestra'!$F$8:$F$42,SMALL(IF("Página Web"='03.Muestra'!$D$8:$D$42,ROW('03.Muestra'!$F$8:$F$42)-MIN(ROW('03.Muestra'!$D$8:$D$42))+1,""),ROW()-1652)),"")</f>
        <v>https://www.portcastello.com/</v>
      </c>
      <c r="D1683" s="130" t="s">
        <v>37</v>
      </c>
      <c r="E1683" s="107" t="str">
        <f t="shared" si="86"/>
        <v/>
      </c>
      <c r="F1683" s="124"/>
      <c r="G1683" s="19"/>
      <c r="H1683" s="19"/>
      <c r="I1683" s="19"/>
      <c r="J1683" s="19"/>
      <c r="K1683" s="233"/>
    </row>
    <row r="1684" spans="1:11" ht="12" customHeight="1">
      <c r="A1684" s="219" t="n" cm="1">
        <f t="array" ref="A1684">IFERROR(INDEX('03.Muestra'!$B$8:$B$42,SMALL(IF("Página Web"='03.Muestra'!$D$8:$D$42,ROW('03.Muestra'!$B$8:$B$42)-MIN(ROW('03.Muestra'!$D$8:$D$42))+1,""),ROW()-1652)),"")</f>
        <v>1.0</v>
      </c>
      <c r="B1684" s="114" t="str" cm="1">
        <f t="array" ref="B1684">IFERROR(INDEX('03.Muestra'!$C$8:$C$42,SMALL(IF("Página Web"='03.Muestra'!$D$8:$D$42,ROW('03.Muestra'!$C$8:$C$42)-MIN(ROW('03.Muestra'!$D$8:$D$42))+1,""),ROW()-1652)),"")</f>
        <v>Home - PortCastelló</v>
      </c>
      <c r="C1684" s="114" t="str" cm="1">
        <f t="array" ref="C1684">IFERROR(INDEX('03.Muestra'!$F$8:$F$42,SMALL(IF("Página Web"='03.Muestra'!$D$8:$D$42,ROW('03.Muestra'!$F$8:$F$42)-MIN(ROW('03.Muestra'!$D$8:$D$42))+1,""),ROW()-1652)),"")</f>
        <v>https://www.portcastello.com/</v>
      </c>
      <c r="D1684" s="130" t="s">
        <v>37</v>
      </c>
      <c r="E1684" s="107" t="str">
        <f t="shared" si="86"/>
        <v/>
      </c>
      <c r="F1684" s="124"/>
      <c r="G1684" s="19"/>
      <c r="H1684" s="19"/>
      <c r="I1684" s="19"/>
      <c r="J1684" s="19"/>
      <c r="K1684" s="233"/>
    </row>
    <row r="1685" spans="1:11" ht="12" customHeight="1">
      <c r="A1685" s="219" t="n" cm="1">
        <f t="array" ref="A1685">IFERROR(INDEX('03.Muestra'!$B$8:$B$42,SMALL(IF("Página Web"='03.Muestra'!$D$8:$D$42,ROW('03.Muestra'!$B$8:$B$42)-MIN(ROW('03.Muestra'!$D$8:$D$42))+1,""),ROW()-1652)),"")</f>
        <v>1.0</v>
      </c>
      <c r="B1685" s="114" t="str" cm="1">
        <f t="array" ref="B1685">IFERROR(INDEX('03.Muestra'!$C$8:$C$42,SMALL(IF("Página Web"='03.Muestra'!$D$8:$D$42,ROW('03.Muestra'!$C$8:$C$42)-MIN(ROW('03.Muestra'!$D$8:$D$42))+1,""),ROW()-1652)),"")</f>
        <v>Home - PortCastelló</v>
      </c>
      <c r="C1685" s="114" t="str" cm="1">
        <f t="array" ref="C1685">IFERROR(INDEX('03.Muestra'!$F$8:$F$42,SMALL(IF("Página Web"='03.Muestra'!$D$8:$D$42,ROW('03.Muestra'!$F$8:$F$42)-MIN(ROW('03.Muestra'!$D$8:$D$42))+1,""),ROW()-1652)),"")</f>
        <v>https://www.portcastello.com/</v>
      </c>
      <c r="D1685" s="130" t="s">
        <v>37</v>
      </c>
      <c r="E1685" s="107" t="str">
        <f t="shared" si="86"/>
        <v/>
      </c>
      <c r="F1685" s="124"/>
      <c r="G1685" s="19"/>
      <c r="H1685" s="19"/>
      <c r="I1685" s="19"/>
      <c r="J1685" s="19"/>
      <c r="K1685" s="233"/>
    </row>
    <row r="1686" spans="1:11" ht="12" customHeight="1">
      <c r="A1686" s="219" t="str" cm="1">
        <f t="array" ref="A1686">IFERROR(INDEX('03.Muestra'!$B$8:$B$42,SMALL(IF("Página Web"='03.Muestra'!$D$8:$D$42,ROW('03.Muestra'!$B$8:$B$42)-MIN(ROW('03.Muestra'!$D$8:$D$42))+1,""),ROW()-1652)),"")</f>
        <v/>
      </c>
      <c r="B1686" s="114" t="str" cm="1">
        <f t="array" ref="B1686">IFERROR(INDEX('03.Muestra'!$C$8:$C$42,SMALL(IF("Página Web"='03.Muestra'!$D$8:$D$42,ROW('03.Muestra'!$C$8:$C$42)-MIN(ROW('03.Muestra'!$D$8:$D$42))+1,""),ROW()-1652)),"")</f>
        <v/>
      </c>
      <c r="C1686" s="114" t="str" cm="1">
        <f t="array" ref="C1686">IFERROR(INDEX('03.Muestra'!$F$8:$F$42,SMALL(IF("Página Web"='03.Muestra'!$D$8:$D$42,ROW('03.Muestra'!$F$8:$F$42)-MIN(ROW('03.Muestra'!$D$8:$D$42))+1,""),ROW()-1652)),"")</f>
        <v/>
      </c>
      <c r="D1686" s="130" t="str">
        <f t="shared" si="87" ref="D1686:D1687">IF(AND(B1686&lt;&gt;"",C1686&lt;&gt;""),"N/T","")</f>
        <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268</v>
      </c>
      <c r="B1690" s="24" t="s">
        <v>90</v>
      </c>
      <c r="C1690" s="25" t="s">
        <v>417</v>
      </c>
      <c r="D1690" s="26" t="s">
        <v>32</v>
      </c>
      <c r="E1690" s="123"/>
      <c r="K1690" s="233"/>
    </row>
    <row r="1691" spans="1:11" ht="12" customHeight="1">
      <c r="A1691" s="219" t="n" cm="1">
        <f t="array" ref="A1691">IFERROR(INDEX('03.Muestra'!$B$8:$B$42,SMALL(IF("Página Web"='03.Muestra'!$D$8:$D$42,ROW('03.Muestra'!$B$8:$B$42)-MIN(ROW('03.Muestra'!$D$8:$D$42))+1,""),ROW()-1690)),"")</f>
        <v>1.0</v>
      </c>
      <c r="B1691" s="114" t="str" cm="1">
        <f t="array" ref="B1691">IFERROR(INDEX('03.Muestra'!$C$8:$C$42,SMALL(IF("Página Web"='03.Muestra'!$D$8:$D$42,ROW('03.Muestra'!$C$8:$C$42)-MIN(ROW('03.Muestra'!$D$8:$D$42))+1,""),ROW()-1690)),"")</f>
        <v>Home - PortCastelló</v>
      </c>
      <c r="C1691" s="114" t="str" cm="1">
        <f t="array" ref="C1691">IFERROR(INDEX('03.Muestra'!$F$8:$F$42,SMALL(IF("Página Web"='03.Muestra'!$D$8:$D$42,ROW('03.Muestra'!$F$8:$F$42)-MIN(ROW('03.Muestra'!$D$8:$D$42))+1,""),ROW()-1690)),"")</f>
        <v>https://www.portcastello.com/</v>
      </c>
      <c r="D1691" s="130" t="str">
        <f>IF(AND(B1691&lt;&gt;"",C1691&lt;&gt;""),"N/T","")</f>
        <v>N/T</v>
      </c>
      <c r="E1691" s="107" t="str">
        <f t="shared" ref="E1691:E1725" si="88">IF(D1691&lt;&gt;"",IF(AND(B1691&lt;&gt;"",C1691&lt;&gt;""),"","ERR"),"")</f>
        <v/>
      </c>
      <c r="F1691" s="115" t="s">
        <v>33</v>
      </c>
      <c r="G1691" s="116" t="s">
        <v>37</v>
      </c>
      <c r="H1691" s="117" t="s">
        <v>35</v>
      </c>
      <c r="I1691" s="118" t="s">
        <v>28</v>
      </c>
      <c r="J1691" s="119" t="s">
        <v>26</v>
      </c>
      <c r="K1691" s="226" t="s">
        <v>474</v>
      </c>
    </row>
    <row r="1692" spans="1:11" ht="12" customHeight="1">
      <c r="A1692" s="219" t="n" cm="1">
        <f t="array" ref="A1692">IFERROR(INDEX('03.Muestra'!$B$8:$B$42,SMALL(IF("Página Web"='03.Muestra'!$D$8:$D$42,ROW('03.Muestra'!$B$8:$B$42)-MIN(ROW('03.Muestra'!$D$8:$D$42))+1,""),ROW()-1690)),"")</f>
        <v>1.0</v>
      </c>
      <c r="B1692" s="114" t="str" cm="1">
        <f t="array" ref="B1692">IFERROR(INDEX('03.Muestra'!$C$8:$C$42,SMALL(IF("Página Web"='03.Muestra'!$D$8:$D$42,ROW('03.Muestra'!$C$8:$C$42)-MIN(ROW('03.Muestra'!$D$8:$D$42))+1,""),ROW()-1690)),"")</f>
        <v>Home - PortCastelló</v>
      </c>
      <c r="C1692" s="114" t="str" cm="1">
        <f t="array" ref="C1692">IFERROR(INDEX('03.Muestra'!$F$8:$F$42,SMALL(IF("Página Web"='03.Muestra'!$D$8:$D$42,ROW('03.Muestra'!$F$8:$F$42)-MIN(ROW('03.Muestra'!$D$8:$D$42))+1,""),ROW()-1690)),"")</f>
        <v>https://www.portcastello.com/</v>
      </c>
      <c r="D1692" s="130" t="str">
        <f t="shared" ref="D1692:D1725" si="89">IF(AND(B1692&lt;&gt;"",C1692&lt;&gt;""),"N/T","")</f>
        <v>N/T</v>
      </c>
      <c r="E1692" s="107" t="str">
        <f t="shared" si="88"/>
        <v/>
      </c>
      <c r="F1692" s="120" t="n">
        <f ca="1">COUNTIF($D1691:INDIRECT("$D" &amp;  SUM(ROW()-1,'03.Muestra'!$D$45)-1),F1691)</f>
        <v>33.0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IF(COUNTIF('03.Muestra'!$D$8:$D$42,"Página Web")=0,0,COUNTBLANK($D1691:INDIRECT("$D" &amp;  SUM(ROW()-1,COUNTIF('03.Muestra'!$D$8:$D$42,"Página Web"))-1)))</f>
        <v>0.0</v>
      </c>
    </row>
    <row r="1693" spans="1:11" ht="12" customHeight="1">
      <c r="A1693" s="219" t="n" cm="1">
        <f t="array" ref="A1693">IFERROR(INDEX('03.Muestra'!$B$8:$B$42,SMALL(IF("Página Web"='03.Muestra'!$D$8:$D$42,ROW('03.Muestra'!$B$8:$B$42)-MIN(ROW('03.Muestra'!$D$8:$D$42))+1,""),ROW()-1690)),"")</f>
        <v>1.0</v>
      </c>
      <c r="B1693" s="114" t="str" cm="1">
        <f t="array" ref="B1693">IFERROR(INDEX('03.Muestra'!$C$8:$C$42,SMALL(IF("Página Web"='03.Muestra'!$D$8:$D$42,ROW('03.Muestra'!$C$8:$C$42)-MIN(ROW('03.Muestra'!$D$8:$D$42))+1,""),ROW()-1690)),"")</f>
        <v>Home - PortCastelló</v>
      </c>
      <c r="C1693" s="114" t="str" cm="1">
        <f t="array" ref="C1693">IFERROR(INDEX('03.Muestra'!$F$8:$F$42,SMALL(IF("Página Web"='03.Muestra'!$D$8:$D$42,ROW('03.Muestra'!$F$8:$F$42)-MIN(ROW('03.Muestra'!$D$8:$D$42))+1,""),ROW()-1690)),"")</f>
        <v>https://www.portcastello.com/</v>
      </c>
      <c r="D1693" s="130" t="str">
        <f t="shared" si="89"/>
        <v>N/T</v>
      </c>
      <c r="E1693" s="107" t="str">
        <f t="shared" si="88"/>
        <v/>
      </c>
      <c r="G1693" s="19"/>
      <c r="H1693" s="19"/>
      <c r="I1693" s="19"/>
      <c r="J1693" s="19"/>
      <c r="K1693" s="233"/>
    </row>
    <row r="1694" spans="1:11" ht="12" customHeight="1">
      <c r="A1694" s="219" t="n" cm="1">
        <f t="array" ref="A1694">IFERROR(INDEX('03.Muestra'!$B$8:$B$42,SMALL(IF("Página Web"='03.Muestra'!$D$8:$D$42,ROW('03.Muestra'!$B$8:$B$42)-MIN(ROW('03.Muestra'!$D$8:$D$42))+1,""),ROW()-1690)),"")</f>
        <v>1.0</v>
      </c>
      <c r="B1694" s="114" t="str" cm="1">
        <f t="array" ref="B1694">IFERROR(INDEX('03.Muestra'!$C$8:$C$42,SMALL(IF("Página Web"='03.Muestra'!$D$8:$D$42,ROW('03.Muestra'!$C$8:$C$42)-MIN(ROW('03.Muestra'!$D$8:$D$42))+1,""),ROW()-1690)),"")</f>
        <v>Home - PortCastelló</v>
      </c>
      <c r="C1694" s="114" t="str" cm="1">
        <f t="array" ref="C1694">IFERROR(INDEX('03.Muestra'!$F$8:$F$42,SMALL(IF("Página Web"='03.Muestra'!$D$8:$D$42,ROW('03.Muestra'!$F$8:$F$42)-MIN(ROW('03.Muestra'!$D$8:$D$42))+1,""),ROW()-1690)),"")</f>
        <v>https://www.portcastello.com/</v>
      </c>
      <c r="D1694" s="130" t="str">
        <f t="shared" si="89"/>
        <v>N/T</v>
      </c>
      <c r="E1694" s="107" t="str">
        <f t="shared" si="88"/>
        <v/>
      </c>
      <c r="G1694" s="19"/>
      <c r="H1694" s="19"/>
      <c r="I1694" s="19"/>
      <c r="J1694" s="19"/>
      <c r="K1694" s="233"/>
    </row>
    <row r="1695" spans="1:11" ht="12" customHeight="1">
      <c r="A1695" s="219" t="n" cm="1">
        <f t="array" ref="A1695">IFERROR(INDEX('03.Muestra'!$B$8:$B$42,SMALL(IF("Página Web"='03.Muestra'!$D$8:$D$42,ROW('03.Muestra'!$B$8:$B$42)-MIN(ROW('03.Muestra'!$D$8:$D$42))+1,""),ROW()-1690)),"")</f>
        <v>1.0</v>
      </c>
      <c r="B1695" s="114" t="str" cm="1">
        <f t="array" ref="B1695">IFERROR(INDEX('03.Muestra'!$C$8:$C$42,SMALL(IF("Página Web"='03.Muestra'!$D$8:$D$42,ROW('03.Muestra'!$C$8:$C$42)-MIN(ROW('03.Muestra'!$D$8:$D$42))+1,""),ROW()-1690)),"")</f>
        <v>Home - PortCastelló</v>
      </c>
      <c r="C1695" s="114" t="str" cm="1">
        <f t="array" ref="C1695">IFERROR(INDEX('03.Muestra'!$F$8:$F$42,SMALL(IF("Página Web"='03.Muestra'!$D$8:$D$42,ROW('03.Muestra'!$F$8:$F$42)-MIN(ROW('03.Muestra'!$D$8:$D$42))+1,""),ROW()-1690)),"")</f>
        <v>https://www.portcastello.com/</v>
      </c>
      <c r="D1695" s="130" t="str">
        <f t="shared" si="89"/>
        <v>N/T</v>
      </c>
      <c r="E1695" s="107" t="str">
        <f t="shared" si="88"/>
        <v/>
      </c>
      <c r="G1695" s="19"/>
      <c r="H1695" s="19"/>
      <c r="I1695" s="19"/>
      <c r="J1695" s="19"/>
      <c r="K1695" s="233"/>
    </row>
    <row r="1696" spans="1:11" ht="12" customHeight="1">
      <c r="A1696" s="219" t="n" cm="1">
        <f t="array" ref="A1696">IFERROR(INDEX('03.Muestra'!$B$8:$B$42,SMALL(IF("Página Web"='03.Muestra'!$D$8:$D$42,ROW('03.Muestra'!$B$8:$B$42)-MIN(ROW('03.Muestra'!$D$8:$D$42))+1,""),ROW()-1690)),"")</f>
        <v>1.0</v>
      </c>
      <c r="B1696" s="114" t="str" cm="1">
        <f t="array" ref="B1696">IFERROR(INDEX('03.Muestra'!$C$8:$C$42,SMALL(IF("Página Web"='03.Muestra'!$D$8:$D$42,ROW('03.Muestra'!$C$8:$C$42)-MIN(ROW('03.Muestra'!$D$8:$D$42))+1,""),ROW()-1690)),"")</f>
        <v>Home - PortCastelló</v>
      </c>
      <c r="C1696" s="114" t="str" cm="1">
        <f t="array" ref="C1696">IFERROR(INDEX('03.Muestra'!$F$8:$F$42,SMALL(IF("Página Web"='03.Muestra'!$D$8:$D$42,ROW('03.Muestra'!$F$8:$F$42)-MIN(ROW('03.Muestra'!$D$8:$D$42))+1,""),ROW()-1690)),"")</f>
        <v>https://www.portcastello.com/</v>
      </c>
      <c r="D1696" s="130" t="str">
        <f t="shared" si="89"/>
        <v>N/T</v>
      </c>
      <c r="E1696" s="107" t="str">
        <f t="shared" si="88"/>
        <v/>
      </c>
      <c r="G1696" s="19"/>
      <c r="H1696" s="19"/>
      <c r="I1696" s="19"/>
      <c r="J1696" s="19"/>
      <c r="K1696" s="233"/>
    </row>
    <row r="1697" spans="1:11" ht="12" customHeight="1">
      <c r="A1697" s="219" t="n" cm="1">
        <f t="array" ref="A1697">IFERROR(INDEX('03.Muestra'!$B$8:$B$42,SMALL(IF("Página Web"='03.Muestra'!$D$8:$D$42,ROW('03.Muestra'!$B$8:$B$42)-MIN(ROW('03.Muestra'!$D$8:$D$42))+1,""),ROW()-1690)),"")</f>
        <v>1.0</v>
      </c>
      <c r="B1697" s="114" t="str" cm="1">
        <f t="array" ref="B1697">IFERROR(INDEX('03.Muestra'!$C$8:$C$42,SMALL(IF("Página Web"='03.Muestra'!$D$8:$D$42,ROW('03.Muestra'!$C$8:$C$42)-MIN(ROW('03.Muestra'!$D$8:$D$42))+1,""),ROW()-1690)),"")</f>
        <v>Home - PortCastelló</v>
      </c>
      <c r="C1697" s="114" t="str" cm="1">
        <f t="array" ref="C1697">IFERROR(INDEX('03.Muestra'!$F$8:$F$42,SMALL(IF("Página Web"='03.Muestra'!$D$8:$D$42,ROW('03.Muestra'!$F$8:$F$42)-MIN(ROW('03.Muestra'!$D$8:$D$42))+1,""),ROW()-1690)),"")</f>
        <v>https://www.portcastello.com/</v>
      </c>
      <c r="D1697" s="130" t="str">
        <f t="shared" si="89"/>
        <v>N/T</v>
      </c>
      <c r="E1697" s="107" t="str">
        <f t="shared" si="88"/>
        <v/>
      </c>
      <c r="F1697" s="19"/>
      <c r="G1697" s="19"/>
      <c r="H1697" s="19"/>
      <c r="I1697" s="19"/>
      <c r="J1697" s="19"/>
      <c r="K1697" s="233"/>
    </row>
    <row r="1698" spans="1:11" ht="12" customHeight="1">
      <c r="A1698" s="219" t="n" cm="1">
        <f t="array" ref="A1698">IFERROR(INDEX('03.Muestra'!$B$8:$B$42,SMALL(IF("Página Web"='03.Muestra'!$D$8:$D$42,ROW('03.Muestra'!$B$8:$B$42)-MIN(ROW('03.Muestra'!$D$8:$D$42))+1,""),ROW()-1690)),"")</f>
        <v>1.0</v>
      </c>
      <c r="B1698" s="114" t="str" cm="1">
        <f t="array" ref="B1698">IFERROR(INDEX('03.Muestra'!$C$8:$C$42,SMALL(IF("Página Web"='03.Muestra'!$D$8:$D$42,ROW('03.Muestra'!$C$8:$C$42)-MIN(ROW('03.Muestra'!$D$8:$D$42))+1,""),ROW()-1690)),"")</f>
        <v>Home - PortCastelló</v>
      </c>
      <c r="C1698" s="114" t="str" cm="1">
        <f t="array" ref="C1698">IFERROR(INDEX('03.Muestra'!$F$8:$F$42,SMALL(IF("Página Web"='03.Muestra'!$D$8:$D$42,ROW('03.Muestra'!$F$8:$F$42)-MIN(ROW('03.Muestra'!$D$8:$D$42))+1,""),ROW()-1690)),"")</f>
        <v>https://www.portcastello.com/</v>
      </c>
      <c r="D1698" s="130" t="str">
        <f t="shared" si="89"/>
        <v>N/T</v>
      </c>
      <c r="E1698" s="107" t="str">
        <f t="shared" si="88"/>
        <v/>
      </c>
      <c r="F1698" s="19"/>
      <c r="G1698" s="19"/>
      <c r="H1698" s="19"/>
      <c r="I1698" s="19"/>
      <c r="J1698" s="19"/>
      <c r="K1698" s="233"/>
    </row>
    <row r="1699" spans="1:11" ht="12" customHeight="1">
      <c r="A1699" s="219" t="n" cm="1">
        <f t="array" ref="A1699">IFERROR(INDEX('03.Muestra'!$B$8:$B$42,SMALL(IF("Página Web"='03.Muestra'!$D$8:$D$42,ROW('03.Muestra'!$B$8:$B$42)-MIN(ROW('03.Muestra'!$D$8:$D$42))+1,""),ROW()-1690)),"")</f>
        <v>1.0</v>
      </c>
      <c r="B1699" s="114" t="str" cm="1">
        <f t="array" ref="B1699">IFERROR(INDEX('03.Muestra'!$C$8:$C$42,SMALL(IF("Página Web"='03.Muestra'!$D$8:$D$42,ROW('03.Muestra'!$C$8:$C$42)-MIN(ROW('03.Muestra'!$D$8:$D$42))+1,""),ROW()-1690)),"")</f>
        <v>Home - PortCastelló</v>
      </c>
      <c r="C1699" s="114" t="str" cm="1">
        <f t="array" ref="C1699">IFERROR(INDEX('03.Muestra'!$F$8:$F$42,SMALL(IF("Página Web"='03.Muestra'!$D$8:$D$42,ROW('03.Muestra'!$F$8:$F$42)-MIN(ROW('03.Muestra'!$D$8:$D$42))+1,""),ROW()-1690)),"")</f>
        <v>https://www.portcastello.com/</v>
      </c>
      <c r="D1699" s="130" t="str">
        <f t="shared" si="89"/>
        <v>N/T</v>
      </c>
      <c r="E1699" s="107" t="str">
        <f t="shared" si="88"/>
        <v/>
      </c>
      <c r="F1699" s="19"/>
      <c r="G1699" s="19"/>
      <c r="H1699" s="19"/>
      <c r="I1699" s="19"/>
      <c r="J1699" s="19"/>
      <c r="K1699" s="233"/>
    </row>
    <row r="1700" spans="1:11" ht="12" customHeight="1">
      <c r="A1700" s="219" t="n"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Home - PortCastelló</v>
      </c>
      <c r="C1700" s="114" t="str" cm="1">
        <f t="array" ref="C1700">IFERROR(INDEX('03.Muestra'!$F$8:$F$42,SMALL(IF("Página Web"='03.Muestra'!$D$8:$D$42,ROW('03.Muestra'!$F$8:$F$42)-MIN(ROW('03.Muestra'!$D$8:$D$42))+1,""),ROW()-1690)),"")</f>
        <v>https://www.portcastello.com/</v>
      </c>
      <c r="D1700" s="130" t="str">
        <f t="shared" si="89"/>
        <v>N/T</v>
      </c>
      <c r="E1700" s="107" t="str">
        <f t="shared" si="88"/>
        <v/>
      </c>
      <c r="F1700" s="19"/>
      <c r="G1700" s="19"/>
      <c r="H1700" s="19"/>
      <c r="I1700" s="19"/>
      <c r="J1700" s="19"/>
      <c r="K1700" s="233"/>
    </row>
    <row r="1701" spans="1:11" ht="12" customHeight="1">
      <c r="A1701" s="219" t="n" cm="1">
        <f t="array" ref="A1701">IFERROR(INDEX('03.Muestra'!$B$8:$B$42,SMALL(IF("Página Web"='03.Muestra'!$D$8:$D$42,ROW('03.Muestra'!$B$8:$B$42)-MIN(ROW('03.Muestra'!$D$8:$D$42))+1,""),ROW()-1690)),"")</f>
        <v>1.0</v>
      </c>
      <c r="B1701" s="114" t="str" cm="1">
        <f t="array" ref="B1701">IFERROR(INDEX('03.Muestra'!$C$8:$C$42,SMALL(IF("Página Web"='03.Muestra'!$D$8:$D$42,ROW('03.Muestra'!$C$8:$C$42)-MIN(ROW('03.Muestra'!$D$8:$D$42))+1,""),ROW()-1690)),"")</f>
        <v>Home - PortCastelló</v>
      </c>
      <c r="C1701" s="114" t="str" cm="1">
        <f t="array" ref="C1701">IFERROR(INDEX('03.Muestra'!$F$8:$F$42,SMALL(IF("Página Web"='03.Muestra'!$D$8:$D$42,ROW('03.Muestra'!$F$8:$F$42)-MIN(ROW('03.Muestra'!$D$8:$D$42))+1,""),ROW()-1690)),"")</f>
        <v>https://www.portcastello.com/</v>
      </c>
      <c r="D1701" s="130" t="str">
        <f t="shared" si="89"/>
        <v>N/T</v>
      </c>
      <c r="E1701" s="107" t="str">
        <f t="shared" si="88"/>
        <v/>
      </c>
      <c r="F1701" s="19"/>
      <c r="G1701" s="19"/>
      <c r="H1701" s="19"/>
      <c r="I1701" s="19"/>
      <c r="J1701" s="19"/>
      <c r="K1701" s="233"/>
    </row>
    <row r="1702" spans="1:11" ht="12" customHeight="1">
      <c r="A1702" s="219" t="n" cm="1">
        <f t="array" ref="A1702">IFERROR(INDEX('03.Muestra'!$B$8:$B$42,SMALL(IF("Página Web"='03.Muestra'!$D$8:$D$42,ROW('03.Muestra'!$B$8:$B$42)-MIN(ROW('03.Muestra'!$D$8:$D$42))+1,""),ROW()-1690)),"")</f>
        <v>1.0</v>
      </c>
      <c r="B1702" s="114" t="str" cm="1">
        <f t="array" ref="B1702">IFERROR(INDEX('03.Muestra'!$C$8:$C$42,SMALL(IF("Página Web"='03.Muestra'!$D$8:$D$42,ROW('03.Muestra'!$C$8:$C$42)-MIN(ROW('03.Muestra'!$D$8:$D$42))+1,""),ROW()-1690)),"")</f>
        <v>Home - PortCastelló</v>
      </c>
      <c r="C1702" s="114" t="str" cm="1">
        <f t="array" ref="C1702">IFERROR(INDEX('03.Muestra'!$F$8:$F$42,SMALL(IF("Página Web"='03.Muestra'!$D$8:$D$42,ROW('03.Muestra'!$F$8:$F$42)-MIN(ROW('03.Muestra'!$D$8:$D$42))+1,""),ROW()-1690)),"")</f>
        <v>https://www.portcastello.com/</v>
      </c>
      <c r="D1702" s="130" t="str">
        <f t="shared" si="89"/>
        <v>N/T</v>
      </c>
      <c r="E1702" s="107" t="str">
        <f t="shared" si="88"/>
        <v/>
      </c>
      <c r="F1702" s="19"/>
      <c r="G1702" s="19"/>
      <c r="H1702" s="19"/>
      <c r="I1702" s="19"/>
      <c r="J1702" s="19"/>
      <c r="K1702" s="233"/>
    </row>
    <row r="1703" spans="1:11" ht="12" customHeight="1">
      <c r="A1703" s="219" t="n" cm="1">
        <f t="array" ref="A1703">IFERROR(INDEX('03.Muestra'!$B$8:$B$42,SMALL(IF("Página Web"='03.Muestra'!$D$8:$D$42,ROW('03.Muestra'!$B$8:$B$42)-MIN(ROW('03.Muestra'!$D$8:$D$42))+1,""),ROW()-1690)),"")</f>
        <v>1.0</v>
      </c>
      <c r="B1703" s="114" t="str" cm="1">
        <f t="array" ref="B1703">IFERROR(INDEX('03.Muestra'!$C$8:$C$42,SMALL(IF("Página Web"='03.Muestra'!$D$8:$D$42,ROW('03.Muestra'!$C$8:$C$42)-MIN(ROW('03.Muestra'!$D$8:$D$42))+1,""),ROW()-1690)),"")</f>
        <v>Home - PortCastelló</v>
      </c>
      <c r="C1703" s="114" t="str" cm="1">
        <f t="array" ref="C1703">IFERROR(INDEX('03.Muestra'!$F$8:$F$42,SMALL(IF("Página Web"='03.Muestra'!$D$8:$D$42,ROW('03.Muestra'!$F$8:$F$42)-MIN(ROW('03.Muestra'!$D$8:$D$42))+1,""),ROW()-1690)),"")</f>
        <v>https://www.portcastello.com/</v>
      </c>
      <c r="D1703" s="130" t="str">
        <f t="shared" si="89"/>
        <v>N/T</v>
      </c>
      <c r="E1703" s="107" t="str">
        <f t="shared" si="88"/>
        <v/>
      </c>
      <c r="F1703" s="19"/>
      <c r="G1703" s="19"/>
      <c r="H1703" s="19"/>
      <c r="I1703" s="19"/>
      <c r="J1703" s="19"/>
      <c r="K1703" s="233"/>
    </row>
    <row r="1704" spans="1:11" ht="12" customHeight="1">
      <c r="A1704" s="219" t="n" cm="1">
        <f t="array" ref="A1704">IFERROR(INDEX('03.Muestra'!$B$8:$B$42,SMALL(IF("Página Web"='03.Muestra'!$D$8:$D$42,ROW('03.Muestra'!$B$8:$B$42)-MIN(ROW('03.Muestra'!$D$8:$D$42))+1,""),ROW()-1690)),"")</f>
        <v>1.0</v>
      </c>
      <c r="B1704" s="114" t="str" cm="1">
        <f t="array" ref="B1704">IFERROR(INDEX('03.Muestra'!$C$8:$C$42,SMALL(IF("Página Web"='03.Muestra'!$D$8:$D$42,ROW('03.Muestra'!$C$8:$C$42)-MIN(ROW('03.Muestra'!$D$8:$D$42))+1,""),ROW()-1690)),"")</f>
        <v>Home - PortCastelló</v>
      </c>
      <c r="C1704" s="114" t="str" cm="1">
        <f t="array" ref="C1704">IFERROR(INDEX('03.Muestra'!$F$8:$F$42,SMALL(IF("Página Web"='03.Muestra'!$D$8:$D$42,ROW('03.Muestra'!$F$8:$F$42)-MIN(ROW('03.Muestra'!$D$8:$D$42))+1,""),ROW()-1690)),"")</f>
        <v>https://www.portcastello.com/</v>
      </c>
      <c r="D1704" s="130" t="str">
        <f t="shared" si="89"/>
        <v>N/T</v>
      </c>
      <c r="E1704" s="107" t="str">
        <f t="shared" si="88"/>
        <v/>
      </c>
      <c r="F1704" s="19"/>
      <c r="G1704" s="19"/>
      <c r="H1704" s="19"/>
      <c r="I1704" s="19"/>
      <c r="J1704" s="19"/>
      <c r="K1704" s="233"/>
    </row>
    <row r="1705" spans="1:11" ht="12" customHeight="1">
      <c r="A1705" s="219" t="n" cm="1">
        <f t="array" ref="A1705">IFERROR(INDEX('03.Muestra'!$B$8:$B$42,SMALL(IF("Página Web"='03.Muestra'!$D$8:$D$42,ROW('03.Muestra'!$B$8:$B$42)-MIN(ROW('03.Muestra'!$D$8:$D$42))+1,""),ROW()-1690)),"")</f>
        <v>1.0</v>
      </c>
      <c r="B1705" s="114" t="str" cm="1">
        <f t="array" ref="B1705">IFERROR(INDEX('03.Muestra'!$C$8:$C$42,SMALL(IF("Página Web"='03.Muestra'!$D$8:$D$42,ROW('03.Muestra'!$C$8:$C$42)-MIN(ROW('03.Muestra'!$D$8:$D$42))+1,""),ROW()-1690)),"")</f>
        <v>Home - PortCastelló</v>
      </c>
      <c r="C1705" s="114" t="str" cm="1">
        <f t="array" ref="C1705">IFERROR(INDEX('03.Muestra'!$F$8:$F$42,SMALL(IF("Página Web"='03.Muestra'!$D$8:$D$42,ROW('03.Muestra'!$F$8:$F$42)-MIN(ROW('03.Muestra'!$D$8:$D$42))+1,""),ROW()-1690)),"")</f>
        <v>https://www.portcastello.com/</v>
      </c>
      <c r="D1705" s="130" t="str">
        <f t="shared" si="89"/>
        <v>N/T</v>
      </c>
      <c r="E1705" s="107" t="str">
        <f t="shared" si="88"/>
        <v/>
      </c>
      <c r="F1705" s="19"/>
      <c r="G1705" s="19"/>
      <c r="H1705" s="19"/>
      <c r="I1705" s="19"/>
      <c r="J1705" s="19"/>
      <c r="K1705" s="233"/>
    </row>
    <row r="1706" spans="1:11" ht="12" customHeight="1">
      <c r="A1706" s="219" t="n" cm="1">
        <f t="array" ref="A1706">IFERROR(INDEX('03.Muestra'!$B$8:$B$42,SMALL(IF("Página Web"='03.Muestra'!$D$8:$D$42,ROW('03.Muestra'!$B$8:$B$42)-MIN(ROW('03.Muestra'!$D$8:$D$42))+1,""),ROW()-1690)),"")</f>
        <v>1.0</v>
      </c>
      <c r="B1706" s="114" t="str" cm="1">
        <f t="array" ref="B1706">IFERROR(INDEX('03.Muestra'!$C$8:$C$42,SMALL(IF("Página Web"='03.Muestra'!$D$8:$D$42,ROW('03.Muestra'!$C$8:$C$42)-MIN(ROW('03.Muestra'!$D$8:$D$42))+1,""),ROW()-1690)),"")</f>
        <v>Home - PortCastelló</v>
      </c>
      <c r="C1706" s="114" t="str" cm="1">
        <f t="array" ref="C1706">IFERROR(INDEX('03.Muestra'!$F$8:$F$42,SMALL(IF("Página Web"='03.Muestra'!$D$8:$D$42,ROW('03.Muestra'!$F$8:$F$42)-MIN(ROW('03.Muestra'!$D$8:$D$42))+1,""),ROW()-1690)),"")</f>
        <v>https://www.portcastello.com/</v>
      </c>
      <c r="D1706" s="130" t="str">
        <f t="shared" si="89"/>
        <v>N/T</v>
      </c>
      <c r="E1706" s="107" t="str">
        <f t="shared" si="88"/>
        <v/>
      </c>
      <c r="F1706" s="19"/>
      <c r="G1706" s="19"/>
      <c r="H1706" s="19"/>
      <c r="I1706" s="19"/>
      <c r="J1706" s="19"/>
      <c r="K1706" s="233"/>
    </row>
    <row r="1707" spans="1:11" ht="12" customHeight="1">
      <c r="A1707" s="219" t="n" cm="1">
        <f t="array" ref="A1707">IFERROR(INDEX('03.Muestra'!$B$8:$B$42,SMALL(IF("Página Web"='03.Muestra'!$D$8:$D$42,ROW('03.Muestra'!$B$8:$B$42)-MIN(ROW('03.Muestra'!$D$8:$D$42))+1,""),ROW()-1690)),"")</f>
        <v>1.0</v>
      </c>
      <c r="B1707" s="114" t="str" cm="1">
        <f t="array" ref="B1707">IFERROR(INDEX('03.Muestra'!$C$8:$C$42,SMALL(IF("Página Web"='03.Muestra'!$D$8:$D$42,ROW('03.Muestra'!$C$8:$C$42)-MIN(ROW('03.Muestra'!$D$8:$D$42))+1,""),ROW()-1690)),"")</f>
        <v>Home - PortCastelló</v>
      </c>
      <c r="C1707" s="114" t="str" cm="1">
        <f t="array" ref="C1707">IFERROR(INDEX('03.Muestra'!$F$8:$F$42,SMALL(IF("Página Web"='03.Muestra'!$D$8:$D$42,ROW('03.Muestra'!$F$8:$F$42)-MIN(ROW('03.Muestra'!$D$8:$D$42))+1,""),ROW()-1690)),"")</f>
        <v>https://www.portcastello.com/</v>
      </c>
      <c r="D1707" s="130" t="str">
        <f t="shared" si="89"/>
        <v>N/T</v>
      </c>
      <c r="E1707" s="107" t="str">
        <f t="shared" si="88"/>
        <v/>
      </c>
      <c r="F1707" s="19"/>
      <c r="G1707" s="19"/>
      <c r="H1707" s="19"/>
      <c r="I1707" s="19"/>
      <c r="J1707" s="19"/>
      <c r="K1707" s="233"/>
    </row>
    <row r="1708" spans="1:11" ht="12" customHeight="1">
      <c r="A1708" s="219" t="n" cm="1">
        <f t="array" ref="A1708">IFERROR(INDEX('03.Muestra'!$B$8:$B$42,SMALL(IF("Página Web"='03.Muestra'!$D$8:$D$42,ROW('03.Muestra'!$B$8:$B$42)-MIN(ROW('03.Muestra'!$D$8:$D$42))+1,""),ROW()-1690)),"")</f>
        <v>1.0</v>
      </c>
      <c r="B1708" s="114" t="str" cm="1">
        <f t="array" ref="B1708">IFERROR(INDEX('03.Muestra'!$C$8:$C$42,SMALL(IF("Página Web"='03.Muestra'!$D$8:$D$42,ROW('03.Muestra'!$C$8:$C$42)-MIN(ROW('03.Muestra'!$D$8:$D$42))+1,""),ROW()-1690)),"")</f>
        <v>Home - PortCastelló</v>
      </c>
      <c r="C1708" s="114" t="str" cm="1">
        <f t="array" ref="C1708">IFERROR(INDEX('03.Muestra'!$F$8:$F$42,SMALL(IF("Página Web"='03.Muestra'!$D$8:$D$42,ROW('03.Muestra'!$F$8:$F$42)-MIN(ROW('03.Muestra'!$D$8:$D$42))+1,""),ROW()-1690)),"")</f>
        <v>https://www.portcastello.com/</v>
      </c>
      <c r="D1708" s="130" t="str">
        <f t="shared" si="89"/>
        <v>N/T</v>
      </c>
      <c r="E1708" s="107" t="str">
        <f t="shared" si="88"/>
        <v/>
      </c>
      <c r="F1708" s="19"/>
      <c r="G1708" s="19"/>
      <c r="H1708" s="19"/>
      <c r="I1708" s="19"/>
      <c r="J1708" s="19"/>
      <c r="K1708" s="233"/>
    </row>
    <row r="1709" spans="1:11" ht="12" customHeight="1">
      <c r="A1709" s="219" t="n" cm="1">
        <f t="array" ref="A1709">IFERROR(INDEX('03.Muestra'!$B$8:$B$42,SMALL(IF("Página Web"='03.Muestra'!$D$8:$D$42,ROW('03.Muestra'!$B$8:$B$42)-MIN(ROW('03.Muestra'!$D$8:$D$42))+1,""),ROW()-1690)),"")</f>
        <v>1.0</v>
      </c>
      <c r="B1709" s="114" t="str" cm="1">
        <f t="array" ref="B1709">IFERROR(INDEX('03.Muestra'!$C$8:$C$42,SMALL(IF("Página Web"='03.Muestra'!$D$8:$D$42,ROW('03.Muestra'!$C$8:$C$42)-MIN(ROW('03.Muestra'!$D$8:$D$42))+1,""),ROW()-1690)),"")</f>
        <v>Home - PortCastelló</v>
      </c>
      <c r="C1709" s="114" t="str" cm="1">
        <f t="array" ref="C1709">IFERROR(INDEX('03.Muestra'!$F$8:$F$42,SMALL(IF("Página Web"='03.Muestra'!$D$8:$D$42,ROW('03.Muestra'!$F$8:$F$42)-MIN(ROW('03.Muestra'!$D$8:$D$42))+1,""),ROW()-1690)),"")</f>
        <v>https://www.portcastello.com/</v>
      </c>
      <c r="D1709" s="130" t="str">
        <f t="shared" si="89"/>
        <v>N/T</v>
      </c>
      <c r="E1709" s="107" t="str">
        <f t="shared" si="88"/>
        <v/>
      </c>
      <c r="F1709" s="19"/>
      <c r="G1709" s="19"/>
      <c r="H1709" s="19"/>
      <c r="I1709" s="19"/>
      <c r="J1709" s="19"/>
      <c r="K1709" s="233"/>
    </row>
    <row r="1710" spans="1:11" ht="12" customHeight="1">
      <c r="A1710" s="219" t="n" cm="1">
        <f t="array" ref="A1710">IFERROR(INDEX('03.Muestra'!$B$8:$B$42,SMALL(IF("Página Web"='03.Muestra'!$D$8:$D$42,ROW('03.Muestra'!$B$8:$B$42)-MIN(ROW('03.Muestra'!$D$8:$D$42))+1,""),ROW()-1690)),"")</f>
        <v>1.0</v>
      </c>
      <c r="B1710" s="114" t="str" cm="1">
        <f t="array" ref="B1710">IFERROR(INDEX('03.Muestra'!$C$8:$C$42,SMALL(IF("Página Web"='03.Muestra'!$D$8:$D$42,ROW('03.Muestra'!$C$8:$C$42)-MIN(ROW('03.Muestra'!$D$8:$D$42))+1,""),ROW()-1690)),"")</f>
        <v>Home - PortCastelló</v>
      </c>
      <c r="C1710" s="114" t="str" cm="1">
        <f t="array" ref="C1710">IFERROR(INDEX('03.Muestra'!$F$8:$F$42,SMALL(IF("Página Web"='03.Muestra'!$D$8:$D$42,ROW('03.Muestra'!$F$8:$F$42)-MIN(ROW('03.Muestra'!$D$8:$D$42))+1,""),ROW()-1690)),"")</f>
        <v>https://www.portcastello.com/</v>
      </c>
      <c r="D1710" s="130" t="str">
        <f t="shared" si="89"/>
        <v>N/T</v>
      </c>
      <c r="E1710" s="107" t="str">
        <f t="shared" si="88"/>
        <v/>
      </c>
      <c r="F1710" s="19"/>
      <c r="G1710" s="19"/>
      <c r="H1710" s="19"/>
      <c r="I1710" s="19"/>
      <c r="J1710" s="19"/>
      <c r="K1710" s="233"/>
    </row>
    <row r="1711" spans="1:11" ht="12" customHeight="1">
      <c r="A1711" s="219" t="n" cm="1">
        <f t="array" ref="A1711">IFERROR(INDEX('03.Muestra'!$B$8:$B$42,SMALL(IF("Página Web"='03.Muestra'!$D$8:$D$42,ROW('03.Muestra'!$B$8:$B$42)-MIN(ROW('03.Muestra'!$D$8:$D$42))+1,""),ROW()-1690)),"")</f>
        <v>1.0</v>
      </c>
      <c r="B1711" s="114" t="str" cm="1">
        <f t="array" ref="B1711">IFERROR(INDEX('03.Muestra'!$C$8:$C$42,SMALL(IF("Página Web"='03.Muestra'!$D$8:$D$42,ROW('03.Muestra'!$C$8:$C$42)-MIN(ROW('03.Muestra'!$D$8:$D$42))+1,""),ROW()-1690)),"")</f>
        <v>Home - PortCastelló</v>
      </c>
      <c r="C1711" s="114" t="str" cm="1">
        <f t="array" ref="C1711">IFERROR(INDEX('03.Muestra'!$F$8:$F$42,SMALL(IF("Página Web"='03.Muestra'!$D$8:$D$42,ROW('03.Muestra'!$F$8:$F$42)-MIN(ROW('03.Muestra'!$D$8:$D$42))+1,""),ROW()-1690)),"")</f>
        <v>https://www.portcastello.com/</v>
      </c>
      <c r="D1711" s="130" t="str">
        <f t="shared" si="89"/>
        <v>N/T</v>
      </c>
      <c r="E1711" s="107" t="str">
        <f t="shared" si="88"/>
        <v/>
      </c>
      <c r="F1711" s="19"/>
      <c r="G1711" s="19"/>
      <c r="H1711" s="19"/>
      <c r="I1711" s="19"/>
      <c r="J1711" s="19"/>
      <c r="K1711" s="233"/>
    </row>
    <row r="1712" spans="1:11" ht="12" customHeight="1">
      <c r="A1712" s="219" t="n" cm="1">
        <f t="array" ref="A1712">IFERROR(INDEX('03.Muestra'!$B$8:$B$42,SMALL(IF("Página Web"='03.Muestra'!$D$8:$D$42,ROW('03.Muestra'!$B$8:$B$42)-MIN(ROW('03.Muestra'!$D$8:$D$42))+1,""),ROW()-1690)),"")</f>
        <v>1.0</v>
      </c>
      <c r="B1712" s="114" t="str" cm="1">
        <f t="array" ref="B1712">IFERROR(INDEX('03.Muestra'!$C$8:$C$42,SMALL(IF("Página Web"='03.Muestra'!$D$8:$D$42,ROW('03.Muestra'!$C$8:$C$42)-MIN(ROW('03.Muestra'!$D$8:$D$42))+1,""),ROW()-1690)),"")</f>
        <v>Home - PortCastelló</v>
      </c>
      <c r="C1712" s="114" t="str" cm="1">
        <f t="array" ref="C1712">IFERROR(INDEX('03.Muestra'!$F$8:$F$42,SMALL(IF("Página Web"='03.Muestra'!$D$8:$D$42,ROW('03.Muestra'!$F$8:$F$42)-MIN(ROW('03.Muestra'!$D$8:$D$42))+1,""),ROW()-1690)),"")</f>
        <v>https://www.portcastello.com/</v>
      </c>
      <c r="D1712" s="130" t="str">
        <f t="shared" si="89"/>
        <v>N/T</v>
      </c>
      <c r="E1712" s="107" t="str">
        <f t="shared" si="88"/>
        <v/>
      </c>
      <c r="F1712" s="19"/>
      <c r="G1712" s="19"/>
      <c r="H1712" s="19"/>
      <c r="I1712" s="19"/>
      <c r="J1712" s="19"/>
      <c r="K1712" s="233"/>
    </row>
    <row r="1713" spans="1:11" ht="12" customHeight="1">
      <c r="A1713" s="219" t="n" cm="1">
        <f t="array" ref="A1713">IFERROR(INDEX('03.Muestra'!$B$8:$B$42,SMALL(IF("Página Web"='03.Muestra'!$D$8:$D$42,ROW('03.Muestra'!$B$8:$B$42)-MIN(ROW('03.Muestra'!$D$8:$D$42))+1,""),ROW()-1690)),"")</f>
        <v>1.0</v>
      </c>
      <c r="B1713" s="114" t="str" cm="1">
        <f t="array" ref="B1713">IFERROR(INDEX('03.Muestra'!$C$8:$C$42,SMALL(IF("Página Web"='03.Muestra'!$D$8:$D$42,ROW('03.Muestra'!$C$8:$C$42)-MIN(ROW('03.Muestra'!$D$8:$D$42))+1,""),ROW()-1690)),"")</f>
        <v>Home - PortCastelló</v>
      </c>
      <c r="C1713" s="114" t="str" cm="1">
        <f t="array" ref="C1713">IFERROR(INDEX('03.Muestra'!$F$8:$F$42,SMALL(IF("Página Web"='03.Muestra'!$D$8:$D$42,ROW('03.Muestra'!$F$8:$F$42)-MIN(ROW('03.Muestra'!$D$8:$D$42))+1,""),ROW()-1690)),"")</f>
        <v>https://www.portcastello.com/</v>
      </c>
      <c r="D1713" s="130" t="str">
        <f t="shared" si="89"/>
        <v>N/T</v>
      </c>
      <c r="E1713" s="107" t="str">
        <f t="shared" si="88"/>
        <v/>
      </c>
      <c r="F1713" s="19"/>
      <c r="G1713" s="19"/>
      <c r="H1713" s="19"/>
      <c r="I1713" s="19"/>
      <c r="J1713" s="19"/>
      <c r="K1713" s="233"/>
    </row>
    <row r="1714" spans="1:11" ht="12" customHeight="1">
      <c r="A1714" s="219" t="n" cm="1">
        <f t="array" ref="A1714">IFERROR(INDEX('03.Muestra'!$B$8:$B$42,SMALL(IF("Página Web"='03.Muestra'!$D$8:$D$42,ROW('03.Muestra'!$B$8:$B$42)-MIN(ROW('03.Muestra'!$D$8:$D$42))+1,""),ROW()-1690)),"")</f>
        <v>1.0</v>
      </c>
      <c r="B1714" s="114" t="str" cm="1">
        <f t="array" ref="B1714">IFERROR(INDEX('03.Muestra'!$C$8:$C$42,SMALL(IF("Página Web"='03.Muestra'!$D$8:$D$42,ROW('03.Muestra'!$C$8:$C$42)-MIN(ROW('03.Muestra'!$D$8:$D$42))+1,""),ROW()-1690)),"")</f>
        <v>Home - PortCastelló</v>
      </c>
      <c r="C1714" s="114" t="str" cm="1">
        <f t="array" ref="C1714">IFERROR(INDEX('03.Muestra'!$F$8:$F$42,SMALL(IF("Página Web"='03.Muestra'!$D$8:$D$42,ROW('03.Muestra'!$F$8:$F$42)-MIN(ROW('03.Muestra'!$D$8:$D$42))+1,""),ROW()-1690)),"")</f>
        <v>https://www.portcastello.com/</v>
      </c>
      <c r="D1714" s="130" t="str">
        <f t="shared" si="89"/>
        <v>N/T</v>
      </c>
      <c r="E1714" s="107" t="str">
        <f t="shared" si="88"/>
        <v/>
      </c>
      <c r="F1714" s="19"/>
      <c r="G1714" s="19"/>
      <c r="H1714" s="19"/>
      <c r="I1714" s="19"/>
      <c r="J1714" s="19"/>
      <c r="K1714" s="233"/>
    </row>
    <row r="1715" spans="1:11" ht="12" customHeight="1">
      <c r="A1715" s="219" t="n" cm="1">
        <f t="array" ref="A1715">IFERROR(INDEX('03.Muestra'!$B$8:$B$42,SMALL(IF("Página Web"='03.Muestra'!$D$8:$D$42,ROW('03.Muestra'!$B$8:$B$42)-MIN(ROW('03.Muestra'!$D$8:$D$42))+1,""),ROW()-1690)),"")</f>
        <v>1.0</v>
      </c>
      <c r="B1715" s="114" t="str" cm="1">
        <f t="array" ref="B1715">IFERROR(INDEX('03.Muestra'!$C$8:$C$42,SMALL(IF("Página Web"='03.Muestra'!$D$8:$D$42,ROW('03.Muestra'!$C$8:$C$42)-MIN(ROW('03.Muestra'!$D$8:$D$42))+1,""),ROW()-1690)),"")</f>
        <v>Home - PortCastelló</v>
      </c>
      <c r="C1715" s="114" t="str" cm="1">
        <f t="array" ref="C1715">IFERROR(INDEX('03.Muestra'!$F$8:$F$42,SMALL(IF("Página Web"='03.Muestra'!$D$8:$D$42,ROW('03.Muestra'!$F$8:$F$42)-MIN(ROW('03.Muestra'!$D$8:$D$42))+1,""),ROW()-1690)),"")</f>
        <v>https://www.portcastello.com/</v>
      </c>
      <c r="D1715" s="130" t="str">
        <f t="shared" si="89"/>
        <v>N/T</v>
      </c>
      <c r="E1715" s="107" t="str">
        <f t="shared" si="88"/>
        <v/>
      </c>
      <c r="F1715" s="19"/>
      <c r="G1715" s="19"/>
      <c r="H1715" s="19"/>
      <c r="I1715" s="19"/>
      <c r="J1715" s="19"/>
      <c r="K1715" s="233"/>
    </row>
    <row r="1716" spans="1:11" ht="12" customHeight="1">
      <c r="A1716" s="219" t="n" cm="1">
        <f t="array" ref="A1716">IFERROR(INDEX('03.Muestra'!$B$8:$B$42,SMALL(IF("Página Web"='03.Muestra'!$D$8:$D$42,ROW('03.Muestra'!$B$8:$B$42)-MIN(ROW('03.Muestra'!$D$8:$D$42))+1,""),ROW()-1690)),"")</f>
        <v>1.0</v>
      </c>
      <c r="B1716" s="114" t="str" cm="1">
        <f t="array" ref="B1716">IFERROR(INDEX('03.Muestra'!$C$8:$C$42,SMALL(IF("Página Web"='03.Muestra'!$D$8:$D$42,ROW('03.Muestra'!$C$8:$C$42)-MIN(ROW('03.Muestra'!$D$8:$D$42))+1,""),ROW()-1690)),"")</f>
        <v>Home - PortCastelló</v>
      </c>
      <c r="C1716" s="114" t="str" cm="1">
        <f t="array" ref="C1716">IFERROR(INDEX('03.Muestra'!$F$8:$F$42,SMALL(IF("Página Web"='03.Muestra'!$D$8:$D$42,ROW('03.Muestra'!$F$8:$F$42)-MIN(ROW('03.Muestra'!$D$8:$D$42))+1,""),ROW()-1690)),"")</f>
        <v>https://www.portcastello.com/</v>
      </c>
      <c r="D1716" s="130" t="str">
        <f t="shared" si="89"/>
        <v>N/T</v>
      </c>
      <c r="E1716" s="107" t="str">
        <f t="shared" si="88"/>
        <v/>
      </c>
      <c r="F1716" s="19"/>
      <c r="G1716" s="19"/>
      <c r="H1716" s="19"/>
      <c r="I1716" s="19"/>
      <c r="J1716" s="19"/>
      <c r="K1716" s="233"/>
    </row>
    <row r="1717" spans="1:11" ht="12" customHeight="1">
      <c r="A1717" s="219" t="n" cm="1">
        <f t="array" ref="A1717">IFERROR(INDEX('03.Muestra'!$B$8:$B$42,SMALL(IF("Página Web"='03.Muestra'!$D$8:$D$42,ROW('03.Muestra'!$B$8:$B$42)-MIN(ROW('03.Muestra'!$D$8:$D$42))+1,""),ROW()-1690)),"")</f>
        <v>1.0</v>
      </c>
      <c r="B1717" s="114" t="str" cm="1">
        <f t="array" ref="B1717">IFERROR(INDEX('03.Muestra'!$C$8:$C$42,SMALL(IF("Página Web"='03.Muestra'!$D$8:$D$42,ROW('03.Muestra'!$C$8:$C$42)-MIN(ROW('03.Muestra'!$D$8:$D$42))+1,""),ROW()-1690)),"")</f>
        <v>Home - PortCastelló</v>
      </c>
      <c r="C1717" s="114" t="str" cm="1">
        <f t="array" ref="C1717">IFERROR(INDEX('03.Muestra'!$F$8:$F$42,SMALL(IF("Página Web"='03.Muestra'!$D$8:$D$42,ROW('03.Muestra'!$F$8:$F$42)-MIN(ROW('03.Muestra'!$D$8:$D$42))+1,""),ROW()-1690)),"")</f>
        <v>https://www.portcastello.com/</v>
      </c>
      <c r="D1717" s="130" t="str">
        <f t="shared" si="89"/>
        <v>N/T</v>
      </c>
      <c r="E1717" s="107" t="str">
        <f t="shared" si="88"/>
        <v/>
      </c>
      <c r="F1717" s="19"/>
      <c r="G1717" s="19"/>
      <c r="H1717" s="19"/>
      <c r="I1717" s="19"/>
      <c r="J1717" s="19"/>
      <c r="K1717" s="233"/>
    </row>
    <row r="1718" spans="1:11" ht="12" customHeight="1">
      <c r="A1718" s="219" t="n" cm="1">
        <f t="array" ref="A1718">IFERROR(INDEX('03.Muestra'!$B$8:$B$42,SMALL(IF("Página Web"='03.Muestra'!$D$8:$D$42,ROW('03.Muestra'!$B$8:$B$42)-MIN(ROW('03.Muestra'!$D$8:$D$42))+1,""),ROW()-1690)),"")</f>
        <v>1.0</v>
      </c>
      <c r="B1718" s="114" t="str" cm="1">
        <f t="array" ref="B1718">IFERROR(INDEX('03.Muestra'!$C$8:$C$42,SMALL(IF("Página Web"='03.Muestra'!$D$8:$D$42,ROW('03.Muestra'!$C$8:$C$42)-MIN(ROW('03.Muestra'!$D$8:$D$42))+1,""),ROW()-1690)),"")</f>
        <v>Home - PortCastelló</v>
      </c>
      <c r="C1718" s="114" t="str" cm="1">
        <f t="array" ref="C1718">IFERROR(INDEX('03.Muestra'!$F$8:$F$42,SMALL(IF("Página Web"='03.Muestra'!$D$8:$D$42,ROW('03.Muestra'!$F$8:$F$42)-MIN(ROW('03.Muestra'!$D$8:$D$42))+1,""),ROW()-1690)),"")</f>
        <v>https://www.portcastello.com/</v>
      </c>
      <c r="D1718" s="130" t="str">
        <f t="shared" si="89"/>
        <v>N/T</v>
      </c>
      <c r="E1718" s="107" t="str">
        <f t="shared" si="88"/>
        <v/>
      </c>
      <c r="G1718" s="19"/>
      <c r="H1718" s="19"/>
      <c r="I1718" s="19"/>
      <c r="J1718" s="19"/>
      <c r="K1718" s="233"/>
    </row>
    <row r="1719" spans="1:11" ht="12" customHeight="1">
      <c r="A1719" s="219" t="n" cm="1">
        <f t="array" ref="A1719">IFERROR(INDEX('03.Muestra'!$B$8:$B$42,SMALL(IF("Página Web"='03.Muestra'!$D$8:$D$42,ROW('03.Muestra'!$B$8:$B$42)-MIN(ROW('03.Muestra'!$D$8:$D$42))+1,""),ROW()-1690)),"")</f>
        <v>1.0</v>
      </c>
      <c r="B1719" s="114" t="str" cm="1">
        <f t="array" ref="B1719">IFERROR(INDEX('03.Muestra'!$C$8:$C$42,SMALL(IF("Página Web"='03.Muestra'!$D$8:$D$42,ROW('03.Muestra'!$C$8:$C$42)-MIN(ROW('03.Muestra'!$D$8:$D$42))+1,""),ROW()-1690)),"")</f>
        <v>Home - PortCastelló</v>
      </c>
      <c r="C1719" s="114" t="str" cm="1">
        <f t="array" ref="C1719">IFERROR(INDEX('03.Muestra'!$F$8:$F$42,SMALL(IF("Página Web"='03.Muestra'!$D$8:$D$42,ROW('03.Muestra'!$F$8:$F$42)-MIN(ROW('03.Muestra'!$D$8:$D$42))+1,""),ROW()-1690)),"")</f>
        <v>https://www.portcastello.com/</v>
      </c>
      <c r="D1719" s="130" t="str">
        <f t="shared" si="89"/>
        <v>N/T</v>
      </c>
      <c r="E1719" s="107" t="str">
        <f t="shared" si="88"/>
        <v/>
      </c>
      <c r="F1719" s="124"/>
      <c r="G1719" s="19"/>
      <c r="H1719" s="19"/>
      <c r="I1719" s="19"/>
      <c r="J1719" s="19"/>
      <c r="K1719" s="233"/>
    </row>
    <row r="1720" spans="1:11" ht="12" customHeight="1">
      <c r="A1720" s="219" t="n" cm="1">
        <f t="array" ref="A1720">IFERROR(INDEX('03.Muestra'!$B$8:$B$42,SMALL(IF("Página Web"='03.Muestra'!$D$8:$D$42,ROW('03.Muestra'!$B$8:$B$42)-MIN(ROW('03.Muestra'!$D$8:$D$42))+1,""),ROW()-1690)),"")</f>
        <v>1.0</v>
      </c>
      <c r="B1720" s="114" t="str" cm="1">
        <f t="array" ref="B1720">IFERROR(INDEX('03.Muestra'!$C$8:$C$42,SMALL(IF("Página Web"='03.Muestra'!$D$8:$D$42,ROW('03.Muestra'!$C$8:$C$42)-MIN(ROW('03.Muestra'!$D$8:$D$42))+1,""),ROW()-1690)),"")</f>
        <v>Home - PortCastelló</v>
      </c>
      <c r="C1720" s="114" t="str" cm="1">
        <f t="array" ref="C1720">IFERROR(INDEX('03.Muestra'!$F$8:$F$42,SMALL(IF("Página Web"='03.Muestra'!$D$8:$D$42,ROW('03.Muestra'!$F$8:$F$42)-MIN(ROW('03.Muestra'!$D$8:$D$42))+1,""),ROW()-1690)),"")</f>
        <v>https://www.portcastello.com/</v>
      </c>
      <c r="D1720" s="130" t="str">
        <f t="shared" si="89"/>
        <v>N/T</v>
      </c>
      <c r="E1720" s="107" t="str">
        <f t="shared" si="88"/>
        <v/>
      </c>
      <c r="F1720" s="124"/>
      <c r="G1720" s="19"/>
      <c r="H1720" s="19"/>
      <c r="I1720" s="19"/>
      <c r="J1720" s="19"/>
      <c r="K1720" s="233"/>
    </row>
    <row r="1721" spans="1:11" ht="12" customHeight="1">
      <c r="A1721" s="219" t="n" cm="1">
        <f t="array" ref="A1721">IFERROR(INDEX('03.Muestra'!$B$8:$B$42,SMALL(IF("Página Web"='03.Muestra'!$D$8:$D$42,ROW('03.Muestra'!$B$8:$B$42)-MIN(ROW('03.Muestra'!$D$8:$D$42))+1,""),ROW()-1690)),"")</f>
        <v>1.0</v>
      </c>
      <c r="B1721" s="114" t="str" cm="1">
        <f t="array" ref="B1721">IFERROR(INDEX('03.Muestra'!$C$8:$C$42,SMALL(IF("Página Web"='03.Muestra'!$D$8:$D$42,ROW('03.Muestra'!$C$8:$C$42)-MIN(ROW('03.Muestra'!$D$8:$D$42))+1,""),ROW()-1690)),"")</f>
        <v>Home - PortCastelló</v>
      </c>
      <c r="C1721" s="114" t="str" cm="1">
        <f t="array" ref="C1721">IFERROR(INDEX('03.Muestra'!$F$8:$F$42,SMALL(IF("Página Web"='03.Muestra'!$D$8:$D$42,ROW('03.Muestra'!$F$8:$F$42)-MIN(ROW('03.Muestra'!$D$8:$D$42))+1,""),ROW()-1690)),"")</f>
        <v>https://www.portcastello.com/</v>
      </c>
      <c r="D1721" s="130" t="str">
        <f t="shared" si="89"/>
        <v>N/T</v>
      </c>
      <c r="E1721" s="107" t="str">
        <f t="shared" si="88"/>
        <v/>
      </c>
      <c r="F1721" s="124"/>
      <c r="G1721" s="19"/>
      <c r="H1721" s="19"/>
      <c r="I1721" s="19"/>
      <c r="J1721" s="19"/>
      <c r="K1721" s="233"/>
    </row>
    <row r="1722" spans="1:11" ht="12" customHeight="1">
      <c r="A1722" s="219" t="n" cm="1">
        <f t="array" ref="A1722">IFERROR(INDEX('03.Muestra'!$B$8:$B$42,SMALL(IF("Página Web"='03.Muestra'!$D$8:$D$42,ROW('03.Muestra'!$B$8:$B$42)-MIN(ROW('03.Muestra'!$D$8:$D$42))+1,""),ROW()-1690)),"")</f>
        <v>1.0</v>
      </c>
      <c r="B1722" s="114" t="str" cm="1">
        <f t="array" ref="B1722">IFERROR(INDEX('03.Muestra'!$C$8:$C$42,SMALL(IF("Página Web"='03.Muestra'!$D$8:$D$42,ROW('03.Muestra'!$C$8:$C$42)-MIN(ROW('03.Muestra'!$D$8:$D$42))+1,""),ROW()-1690)),"")</f>
        <v>Home - PortCastelló</v>
      </c>
      <c r="C1722" s="114" t="str" cm="1">
        <f t="array" ref="C1722">IFERROR(INDEX('03.Muestra'!$F$8:$F$42,SMALL(IF("Página Web"='03.Muestra'!$D$8:$D$42,ROW('03.Muestra'!$F$8:$F$42)-MIN(ROW('03.Muestra'!$D$8:$D$42))+1,""),ROW()-1690)),"")</f>
        <v>https://www.portcastello.com/</v>
      </c>
      <c r="D1722" s="130" t="str">
        <f t="shared" si="89"/>
        <v>N/T</v>
      </c>
      <c r="E1722" s="107" t="str">
        <f t="shared" si="88"/>
        <v/>
      </c>
      <c r="F1722" s="124"/>
      <c r="G1722" s="19"/>
      <c r="H1722" s="19"/>
      <c r="I1722" s="19"/>
      <c r="J1722" s="19"/>
      <c r="K1722" s="233"/>
    </row>
    <row r="1723" spans="1:11" ht="12" customHeight="1">
      <c r="A1723" s="219" t="n" cm="1">
        <f t="array" ref="A1723">IFERROR(INDEX('03.Muestra'!$B$8:$B$42,SMALL(IF("Página Web"='03.Muestra'!$D$8:$D$42,ROW('03.Muestra'!$B$8:$B$42)-MIN(ROW('03.Muestra'!$D$8:$D$42))+1,""),ROW()-1690)),"")</f>
        <v>1.0</v>
      </c>
      <c r="B1723" s="114" t="str" cm="1">
        <f t="array" ref="B1723">IFERROR(INDEX('03.Muestra'!$C$8:$C$42,SMALL(IF("Página Web"='03.Muestra'!$D$8:$D$42,ROW('03.Muestra'!$C$8:$C$42)-MIN(ROW('03.Muestra'!$D$8:$D$42))+1,""),ROW()-1690)),"")</f>
        <v>Home - PortCastelló</v>
      </c>
      <c r="C1723" s="114" t="str" cm="1">
        <f t="array" ref="C1723">IFERROR(INDEX('03.Muestra'!$F$8:$F$42,SMALL(IF("Página Web"='03.Muestra'!$D$8:$D$42,ROW('03.Muestra'!$F$8:$F$42)-MIN(ROW('03.Muestra'!$D$8:$D$42))+1,""),ROW()-1690)),"")</f>
        <v>https://www.portcastello.com/</v>
      </c>
      <c r="D1723" s="130" t="str">
        <f t="shared" si="89"/>
        <v>N/T</v>
      </c>
      <c r="E1723" s="107" t="str">
        <f t="shared" si="88"/>
        <v/>
      </c>
      <c r="F1723" s="124"/>
      <c r="G1723" s="19"/>
      <c r="H1723" s="19"/>
      <c r="I1723" s="19"/>
      <c r="J1723" s="19"/>
      <c r="K1723" s="233"/>
    </row>
    <row r="1724" spans="1:11" ht="12" customHeight="1">
      <c r="A1724" s="219" t="str" cm="1">
        <f t="array" ref="A1724">IFERROR(INDEX('03.Muestra'!$B$8:$B$42,SMALL(IF("Página Web"='03.Muestra'!$D$8:$D$42,ROW('03.Muestra'!$B$8:$B$42)-MIN(ROW('03.Muestra'!$D$8:$D$42))+1,""),ROW()-1690)),"")</f>
        <v/>
      </c>
      <c r="B1724" s="114" t="str" cm="1">
        <f t="array" ref="B1724">IFERROR(INDEX('03.Muestra'!$C$8:$C$42,SMALL(IF("Página Web"='03.Muestra'!$D$8:$D$42,ROW('03.Muestra'!$C$8:$C$42)-MIN(ROW('03.Muestra'!$D$8:$D$42))+1,""),ROW()-1690)),"")</f>
        <v/>
      </c>
      <c r="C1724" s="114" t="str" cm="1">
        <f t="array" ref="C1724">IFERROR(INDEX('03.Muestra'!$F$8:$F$42,SMALL(IF("Página Web"='03.Muestra'!$D$8:$D$42,ROW('03.Muestra'!$F$8:$F$42)-MIN(ROW('03.Muestra'!$D$8:$D$42))+1,""),ROW()-1690)),"")</f>
        <v/>
      </c>
      <c r="D1724" s="130" t="str">
        <f t="shared" si="89"/>
        <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268</v>
      </c>
      <c r="B1728" s="24" t="s">
        <v>90</v>
      </c>
      <c r="C1728" s="25" t="s">
        <v>418</v>
      </c>
      <c r="D1728" s="26" t="s">
        <v>32</v>
      </c>
      <c r="E1728" s="123"/>
      <c r="K1728" s="233"/>
    </row>
    <row r="1729" spans="1:11" ht="12" customHeight="1">
      <c r="A1729" s="219" t="n" cm="1">
        <f t="array" ref="A1729">IFERROR(INDEX('03.Muestra'!$B$8:$B$42,SMALL(IF("Página Web"='03.Muestra'!$D$8:$D$42,ROW('03.Muestra'!$B$8:$B$42)-MIN(ROW('03.Muestra'!$D$8:$D$42))+1,""),ROW()-1728)),"")</f>
        <v>1.0</v>
      </c>
      <c r="B1729" s="114" t="str" cm="1">
        <f t="array" ref="B1729">IFERROR(INDEX('03.Muestra'!$C$8:$C$42,SMALL(IF("Página Web"='03.Muestra'!$D$8:$D$42,ROW('03.Muestra'!$C$8:$C$42)-MIN(ROW('03.Muestra'!$D$8:$D$42))+1,""),ROW()-1728)),"")</f>
        <v>Home - PortCastelló</v>
      </c>
      <c r="C1729" s="114" t="str" cm="1">
        <f t="array" ref="C1729">IFERROR(INDEX('03.Muestra'!$F$8:$F$42,SMALL(IF("Página Web"='03.Muestra'!$D$8:$D$42,ROW('03.Muestra'!$F$8:$F$42)-MIN(ROW('03.Muestra'!$D$8:$D$42))+1,""),ROW()-1728)),"")</f>
        <v>https://www.portcastello.com/</v>
      </c>
      <c r="D1729" s="130" t="str">
        <f>IF(AND(B1729&lt;&gt;"",C1729&lt;&gt;""),"N/T","")</f>
        <v>N/T</v>
      </c>
      <c r="E1729" s="107" t="str">
        <f t="shared" ref="E1729:E1763" si="90">IF(D1729&lt;&gt;"",IF(AND(B1729&lt;&gt;"",C1729&lt;&gt;""),"","ERR"),"")</f>
        <v/>
      </c>
      <c r="F1729" s="115" t="s">
        <v>33</v>
      </c>
      <c r="G1729" s="116" t="s">
        <v>37</v>
      </c>
      <c r="H1729" s="117" t="s">
        <v>35</v>
      </c>
      <c r="I1729" s="118" t="s">
        <v>28</v>
      </c>
      <c r="J1729" s="119" t="s">
        <v>26</v>
      </c>
      <c r="K1729" s="226" t="s">
        <v>474</v>
      </c>
    </row>
    <row r="1730" spans="1:11" ht="12" customHeight="1">
      <c r="A1730" s="219" t="n" cm="1">
        <f t="array" ref="A1730">IFERROR(INDEX('03.Muestra'!$B$8:$B$42,SMALL(IF("Página Web"='03.Muestra'!$D$8:$D$42,ROW('03.Muestra'!$B$8:$B$42)-MIN(ROW('03.Muestra'!$D$8:$D$42))+1,""),ROW()-1728)),"")</f>
        <v>1.0</v>
      </c>
      <c r="B1730" s="114" t="str" cm="1">
        <f t="array" ref="B1730">IFERROR(INDEX('03.Muestra'!$C$8:$C$42,SMALL(IF("Página Web"='03.Muestra'!$D$8:$D$42,ROW('03.Muestra'!$C$8:$C$42)-MIN(ROW('03.Muestra'!$D$8:$D$42))+1,""),ROW()-1728)),"")</f>
        <v>Home - PortCastelló</v>
      </c>
      <c r="C1730" s="114" t="str" cm="1">
        <f t="array" ref="C1730">IFERROR(INDEX('03.Muestra'!$F$8:$F$42,SMALL(IF("Página Web"='03.Muestra'!$D$8:$D$42,ROW('03.Muestra'!$F$8:$F$42)-MIN(ROW('03.Muestra'!$D$8:$D$42))+1,""),ROW()-1728)),"")</f>
        <v>https://www.portcastello.com/</v>
      </c>
      <c r="D1730" s="130" t="str">
        <f t="shared" ref="D1730:D1763" si="91">IF(AND(B1730&lt;&gt;"",C1730&lt;&gt;""),"N/T","")</f>
        <v>N/T</v>
      </c>
      <c r="E1730" s="107" t="str">
        <f t="shared" si="90"/>
        <v/>
      </c>
      <c r="F1730" s="120" t="n">
        <f ca="1">COUNTIF($D1729:INDIRECT("$D" &amp;  SUM(ROW()-1,'03.Muestra'!$D$45)-1),F1729)</f>
        <v>33.0</v>
      </c>
      <c r="G1730" s="120" t="n">
        <f ca="1">COUNTIF($D1729:INDIRECT("$D" &amp;  SUM(ROW()-1,'03.Muestra'!$D$45)-1),G1729)</f>
        <v>0.0</v>
      </c>
      <c r="H1730" s="120" t="n">
        <f ca="1">COUNTIF($D1729:INDIRECT("$D" &amp;  SUM(ROW()-1,'03.Muestra'!$D$45)-1),H1729)</f>
        <v>0.0</v>
      </c>
      <c r="I1730" s="120" t="n">
        <f ca="1">COUNTIF($D1729:INDIRECT("$D" &amp;  SUM(ROW()-1,'03.Muestra'!$D$45)-1),I1729)</f>
        <v>0.0</v>
      </c>
      <c r="J1730" s="120" t="n">
        <f ca="1">COUNTIF($D1729:INDIRECT("$D" &amp;  SUM(ROW()-1,'03.Muestra'!$D$45)-1),J1729)</f>
        <v>0.0</v>
      </c>
      <c r="K1730" s="227" t="n">
        <f ca="1">IF(COUNTIF('03.Muestra'!$D$8:$D$42,"Página Web")=0,0,COUNTBLANK($D1729:INDIRECT("$D" &amp;  SUM(ROW()-1,COUNTIF('03.Muestra'!$D$8:$D$42,"Página Web"))-1)))</f>
        <v>0.0</v>
      </c>
    </row>
    <row r="1731" spans="1:11" ht="12" customHeight="1">
      <c r="A1731" s="219" t="n" cm="1">
        <f t="array" ref="A1731">IFERROR(INDEX('03.Muestra'!$B$8:$B$42,SMALL(IF("Página Web"='03.Muestra'!$D$8:$D$42,ROW('03.Muestra'!$B$8:$B$42)-MIN(ROW('03.Muestra'!$D$8:$D$42))+1,""),ROW()-1728)),"")</f>
        <v>1.0</v>
      </c>
      <c r="B1731" s="114" t="str" cm="1">
        <f t="array" ref="B1731">IFERROR(INDEX('03.Muestra'!$C$8:$C$42,SMALL(IF("Página Web"='03.Muestra'!$D$8:$D$42,ROW('03.Muestra'!$C$8:$C$42)-MIN(ROW('03.Muestra'!$D$8:$D$42))+1,""),ROW()-1728)),"")</f>
        <v>Home - PortCastelló</v>
      </c>
      <c r="C1731" s="114" t="str" cm="1">
        <f t="array" ref="C1731">IFERROR(INDEX('03.Muestra'!$F$8:$F$42,SMALL(IF("Página Web"='03.Muestra'!$D$8:$D$42,ROW('03.Muestra'!$F$8:$F$42)-MIN(ROW('03.Muestra'!$D$8:$D$42))+1,""),ROW()-1728)),"")</f>
        <v>https://www.portcastello.com/</v>
      </c>
      <c r="D1731" s="130" t="str">
        <f t="shared" si="91"/>
        <v>N/T</v>
      </c>
      <c r="E1731" s="107" t="str">
        <f t="shared" si="90"/>
        <v/>
      </c>
      <c r="G1731" s="19"/>
      <c r="H1731" s="19"/>
      <c r="I1731" s="19"/>
      <c r="J1731" s="19"/>
      <c r="K1731" s="233"/>
    </row>
    <row r="1732" spans="1:11" ht="12" customHeight="1">
      <c r="A1732" s="219" t="n" cm="1">
        <f t="array" ref="A1732">IFERROR(INDEX('03.Muestra'!$B$8:$B$42,SMALL(IF("Página Web"='03.Muestra'!$D$8:$D$42,ROW('03.Muestra'!$B$8:$B$42)-MIN(ROW('03.Muestra'!$D$8:$D$42))+1,""),ROW()-1728)),"")</f>
        <v>1.0</v>
      </c>
      <c r="B1732" s="114" t="str" cm="1">
        <f t="array" ref="B1732">IFERROR(INDEX('03.Muestra'!$C$8:$C$42,SMALL(IF("Página Web"='03.Muestra'!$D$8:$D$42,ROW('03.Muestra'!$C$8:$C$42)-MIN(ROW('03.Muestra'!$D$8:$D$42))+1,""),ROW()-1728)),"")</f>
        <v>Home - PortCastelló</v>
      </c>
      <c r="C1732" s="114" t="str" cm="1">
        <f t="array" ref="C1732">IFERROR(INDEX('03.Muestra'!$F$8:$F$42,SMALL(IF("Página Web"='03.Muestra'!$D$8:$D$42,ROW('03.Muestra'!$F$8:$F$42)-MIN(ROW('03.Muestra'!$D$8:$D$42))+1,""),ROW()-1728)),"")</f>
        <v>https://www.portcastello.com/</v>
      </c>
      <c r="D1732" s="130" t="str">
        <f t="shared" si="91"/>
        <v>N/T</v>
      </c>
      <c r="E1732" s="107" t="str">
        <f t="shared" si="90"/>
        <v/>
      </c>
      <c r="G1732" s="19"/>
      <c r="H1732" s="19"/>
      <c r="I1732" s="19"/>
      <c r="J1732" s="19"/>
      <c r="K1732" s="233"/>
    </row>
    <row r="1733" spans="1:11" ht="12" customHeight="1">
      <c r="A1733" s="219" t="n" cm="1">
        <f t="array" ref="A1733">IFERROR(INDEX('03.Muestra'!$B$8:$B$42,SMALL(IF("Página Web"='03.Muestra'!$D$8:$D$42,ROW('03.Muestra'!$B$8:$B$42)-MIN(ROW('03.Muestra'!$D$8:$D$42))+1,""),ROW()-1728)),"")</f>
        <v>1.0</v>
      </c>
      <c r="B1733" s="114" t="str" cm="1">
        <f t="array" ref="B1733">IFERROR(INDEX('03.Muestra'!$C$8:$C$42,SMALL(IF("Página Web"='03.Muestra'!$D$8:$D$42,ROW('03.Muestra'!$C$8:$C$42)-MIN(ROW('03.Muestra'!$D$8:$D$42))+1,""),ROW()-1728)),"")</f>
        <v>Home - PortCastelló</v>
      </c>
      <c r="C1733" s="114" t="str" cm="1">
        <f t="array" ref="C1733">IFERROR(INDEX('03.Muestra'!$F$8:$F$42,SMALL(IF("Página Web"='03.Muestra'!$D$8:$D$42,ROW('03.Muestra'!$F$8:$F$42)-MIN(ROW('03.Muestra'!$D$8:$D$42))+1,""),ROW()-1728)),"")</f>
        <v>https://www.portcastello.com/</v>
      </c>
      <c r="D1733" s="130" t="str">
        <f t="shared" si="91"/>
        <v>N/T</v>
      </c>
      <c r="E1733" s="107" t="str">
        <f t="shared" si="90"/>
        <v/>
      </c>
      <c r="G1733" s="19"/>
      <c r="H1733" s="19"/>
      <c r="I1733" s="19"/>
      <c r="J1733" s="19"/>
      <c r="K1733" s="233"/>
    </row>
    <row r="1734" spans="1:11" ht="12" customHeight="1">
      <c r="A1734" s="219" t="n" cm="1">
        <f t="array" ref="A1734">IFERROR(INDEX('03.Muestra'!$B$8:$B$42,SMALL(IF("Página Web"='03.Muestra'!$D$8:$D$42,ROW('03.Muestra'!$B$8:$B$42)-MIN(ROW('03.Muestra'!$D$8:$D$42))+1,""),ROW()-1728)),"")</f>
        <v>1.0</v>
      </c>
      <c r="B1734" s="114" t="str" cm="1">
        <f t="array" ref="B1734">IFERROR(INDEX('03.Muestra'!$C$8:$C$42,SMALL(IF("Página Web"='03.Muestra'!$D$8:$D$42,ROW('03.Muestra'!$C$8:$C$42)-MIN(ROW('03.Muestra'!$D$8:$D$42))+1,""),ROW()-1728)),"")</f>
        <v>Home - PortCastelló</v>
      </c>
      <c r="C1734" s="114" t="str" cm="1">
        <f t="array" ref="C1734">IFERROR(INDEX('03.Muestra'!$F$8:$F$42,SMALL(IF("Página Web"='03.Muestra'!$D$8:$D$42,ROW('03.Muestra'!$F$8:$F$42)-MIN(ROW('03.Muestra'!$D$8:$D$42))+1,""),ROW()-1728)),"")</f>
        <v>https://www.portcastello.com/</v>
      </c>
      <c r="D1734" s="130" t="str">
        <f t="shared" si="91"/>
        <v>N/T</v>
      </c>
      <c r="E1734" s="107" t="str">
        <f t="shared" si="90"/>
        <v/>
      </c>
      <c r="G1734" s="19"/>
      <c r="H1734" s="19"/>
      <c r="I1734" s="19"/>
      <c r="J1734" s="19"/>
      <c r="K1734" s="233"/>
    </row>
    <row r="1735" spans="1:11" ht="12" customHeight="1">
      <c r="A1735" s="219" t="n" cm="1">
        <f t="array" ref="A1735">IFERROR(INDEX('03.Muestra'!$B$8:$B$42,SMALL(IF("Página Web"='03.Muestra'!$D$8:$D$42,ROW('03.Muestra'!$B$8:$B$42)-MIN(ROW('03.Muestra'!$D$8:$D$42))+1,""),ROW()-1728)),"")</f>
        <v>1.0</v>
      </c>
      <c r="B1735" s="114" t="str" cm="1">
        <f t="array" ref="B1735">IFERROR(INDEX('03.Muestra'!$C$8:$C$42,SMALL(IF("Página Web"='03.Muestra'!$D$8:$D$42,ROW('03.Muestra'!$C$8:$C$42)-MIN(ROW('03.Muestra'!$D$8:$D$42))+1,""),ROW()-1728)),"")</f>
        <v>Home - PortCastelló</v>
      </c>
      <c r="C1735" s="114" t="str" cm="1">
        <f t="array" ref="C1735">IFERROR(INDEX('03.Muestra'!$F$8:$F$42,SMALL(IF("Página Web"='03.Muestra'!$D$8:$D$42,ROW('03.Muestra'!$F$8:$F$42)-MIN(ROW('03.Muestra'!$D$8:$D$42))+1,""),ROW()-1728)),"")</f>
        <v>https://www.portcastello.com/</v>
      </c>
      <c r="D1735" s="130" t="str">
        <f t="shared" si="91"/>
        <v>N/T</v>
      </c>
      <c r="E1735" s="107" t="str">
        <f t="shared" si="90"/>
        <v/>
      </c>
      <c r="F1735" s="19"/>
      <c r="G1735" s="19"/>
      <c r="H1735" s="19"/>
      <c r="I1735" s="19"/>
      <c r="J1735" s="19"/>
      <c r="K1735" s="233"/>
    </row>
    <row r="1736" spans="1:11" ht="12" customHeight="1">
      <c r="A1736" s="219" t="n" cm="1">
        <f t="array" ref="A1736">IFERROR(INDEX('03.Muestra'!$B$8:$B$42,SMALL(IF("Página Web"='03.Muestra'!$D$8:$D$42,ROW('03.Muestra'!$B$8:$B$42)-MIN(ROW('03.Muestra'!$D$8:$D$42))+1,""),ROW()-1728)),"")</f>
        <v>1.0</v>
      </c>
      <c r="B1736" s="114" t="str" cm="1">
        <f t="array" ref="B1736">IFERROR(INDEX('03.Muestra'!$C$8:$C$42,SMALL(IF("Página Web"='03.Muestra'!$D$8:$D$42,ROW('03.Muestra'!$C$8:$C$42)-MIN(ROW('03.Muestra'!$D$8:$D$42))+1,""),ROW()-1728)),"")</f>
        <v>Home - PortCastelló</v>
      </c>
      <c r="C1736" s="114" t="str" cm="1">
        <f t="array" ref="C1736">IFERROR(INDEX('03.Muestra'!$F$8:$F$42,SMALL(IF("Página Web"='03.Muestra'!$D$8:$D$42,ROW('03.Muestra'!$F$8:$F$42)-MIN(ROW('03.Muestra'!$D$8:$D$42))+1,""),ROW()-1728)),"")</f>
        <v>https://www.portcastello.com/</v>
      </c>
      <c r="D1736" s="130" t="str">
        <f t="shared" si="91"/>
        <v>N/T</v>
      </c>
      <c r="E1736" s="107" t="str">
        <f t="shared" si="90"/>
        <v/>
      </c>
      <c r="F1736" s="19"/>
      <c r="G1736" s="19"/>
      <c r="H1736" s="19"/>
      <c r="I1736" s="19"/>
      <c r="J1736" s="19"/>
      <c r="K1736" s="233"/>
    </row>
    <row r="1737" spans="1:11" ht="12" customHeight="1">
      <c r="A1737" s="219" t="n" cm="1">
        <f t="array" ref="A1737">IFERROR(INDEX('03.Muestra'!$B$8:$B$42,SMALL(IF("Página Web"='03.Muestra'!$D$8:$D$42,ROW('03.Muestra'!$B$8:$B$42)-MIN(ROW('03.Muestra'!$D$8:$D$42))+1,""),ROW()-1728)),"")</f>
        <v>1.0</v>
      </c>
      <c r="B1737" s="114" t="str" cm="1">
        <f t="array" ref="B1737">IFERROR(INDEX('03.Muestra'!$C$8:$C$42,SMALL(IF("Página Web"='03.Muestra'!$D$8:$D$42,ROW('03.Muestra'!$C$8:$C$42)-MIN(ROW('03.Muestra'!$D$8:$D$42))+1,""),ROW()-1728)),"")</f>
        <v>Home - PortCastelló</v>
      </c>
      <c r="C1737" s="114" t="str" cm="1">
        <f t="array" ref="C1737">IFERROR(INDEX('03.Muestra'!$F$8:$F$42,SMALL(IF("Página Web"='03.Muestra'!$D$8:$D$42,ROW('03.Muestra'!$F$8:$F$42)-MIN(ROW('03.Muestra'!$D$8:$D$42))+1,""),ROW()-1728)),"")</f>
        <v>https://www.portcastello.com/</v>
      </c>
      <c r="D1737" s="130" t="str">
        <f t="shared" si="91"/>
        <v>N/T</v>
      </c>
      <c r="E1737" s="107" t="str">
        <f t="shared" si="90"/>
        <v/>
      </c>
      <c r="F1737" s="19"/>
      <c r="G1737" s="19"/>
      <c r="H1737" s="19"/>
      <c r="I1737" s="19"/>
      <c r="J1737" s="19"/>
      <c r="K1737" s="233"/>
    </row>
    <row r="1738" spans="1:11" ht="12" customHeight="1">
      <c r="A1738" s="219" t="n"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Home - PortCastelló</v>
      </c>
      <c r="C1738" s="114" t="str" cm="1">
        <f t="array" ref="C1738">IFERROR(INDEX('03.Muestra'!$F$8:$F$42,SMALL(IF("Página Web"='03.Muestra'!$D$8:$D$42,ROW('03.Muestra'!$F$8:$F$42)-MIN(ROW('03.Muestra'!$D$8:$D$42))+1,""),ROW()-1728)),"")</f>
        <v>https://www.portcastello.com/</v>
      </c>
      <c r="D1738" s="130" t="str">
        <f t="shared" si="91"/>
        <v>N/T</v>
      </c>
      <c r="E1738" s="107" t="str">
        <f t="shared" si="90"/>
        <v/>
      </c>
      <c r="F1738" s="19"/>
      <c r="G1738" s="19"/>
      <c r="H1738" s="19"/>
      <c r="I1738" s="19"/>
      <c r="J1738" s="19"/>
      <c r="K1738" s="233"/>
    </row>
    <row r="1739" spans="1:11" ht="12" customHeight="1">
      <c r="A1739" s="219" t="n" cm="1">
        <f t="array" ref="A1739">IFERROR(INDEX('03.Muestra'!$B$8:$B$42,SMALL(IF("Página Web"='03.Muestra'!$D$8:$D$42,ROW('03.Muestra'!$B$8:$B$42)-MIN(ROW('03.Muestra'!$D$8:$D$42))+1,""),ROW()-1728)),"")</f>
        <v>1.0</v>
      </c>
      <c r="B1739" s="114" t="str" cm="1">
        <f t="array" ref="B1739">IFERROR(INDEX('03.Muestra'!$C$8:$C$42,SMALL(IF("Página Web"='03.Muestra'!$D$8:$D$42,ROW('03.Muestra'!$C$8:$C$42)-MIN(ROW('03.Muestra'!$D$8:$D$42))+1,""),ROW()-1728)),"")</f>
        <v>Home - PortCastelló</v>
      </c>
      <c r="C1739" s="114" t="str" cm="1">
        <f t="array" ref="C1739">IFERROR(INDEX('03.Muestra'!$F$8:$F$42,SMALL(IF("Página Web"='03.Muestra'!$D$8:$D$42,ROW('03.Muestra'!$F$8:$F$42)-MIN(ROW('03.Muestra'!$D$8:$D$42))+1,""),ROW()-1728)),"")</f>
        <v>https://www.portcastello.com/</v>
      </c>
      <c r="D1739" s="130" t="str">
        <f t="shared" si="91"/>
        <v>N/T</v>
      </c>
      <c r="E1739" s="107" t="str">
        <f t="shared" si="90"/>
        <v/>
      </c>
      <c r="F1739" s="19"/>
      <c r="G1739" s="19"/>
      <c r="H1739" s="19"/>
      <c r="I1739" s="19"/>
      <c r="J1739" s="19"/>
      <c r="K1739" s="233"/>
    </row>
    <row r="1740" spans="1:11" ht="12" customHeight="1">
      <c r="A1740" s="219" t="n" cm="1">
        <f t="array" ref="A1740">IFERROR(INDEX('03.Muestra'!$B$8:$B$42,SMALL(IF("Página Web"='03.Muestra'!$D$8:$D$42,ROW('03.Muestra'!$B$8:$B$42)-MIN(ROW('03.Muestra'!$D$8:$D$42))+1,""),ROW()-1728)),"")</f>
        <v>1.0</v>
      </c>
      <c r="B1740" s="114" t="str" cm="1">
        <f t="array" ref="B1740">IFERROR(INDEX('03.Muestra'!$C$8:$C$42,SMALL(IF("Página Web"='03.Muestra'!$D$8:$D$42,ROW('03.Muestra'!$C$8:$C$42)-MIN(ROW('03.Muestra'!$D$8:$D$42))+1,""),ROW()-1728)),"")</f>
        <v>Home - PortCastelló</v>
      </c>
      <c r="C1740" s="114" t="str" cm="1">
        <f t="array" ref="C1740">IFERROR(INDEX('03.Muestra'!$F$8:$F$42,SMALL(IF("Página Web"='03.Muestra'!$D$8:$D$42,ROW('03.Muestra'!$F$8:$F$42)-MIN(ROW('03.Muestra'!$D$8:$D$42))+1,""),ROW()-1728)),"")</f>
        <v>https://www.portcastello.com/</v>
      </c>
      <c r="D1740" s="130" t="str">
        <f t="shared" si="91"/>
        <v>N/T</v>
      </c>
      <c r="E1740" s="107" t="str">
        <f t="shared" si="90"/>
        <v/>
      </c>
      <c r="F1740" s="19"/>
      <c r="G1740" s="19"/>
      <c r="H1740" s="19"/>
      <c r="I1740" s="19"/>
      <c r="J1740" s="19"/>
      <c r="K1740" s="233"/>
    </row>
    <row r="1741" spans="1:11" ht="12" customHeight="1">
      <c r="A1741" s="219" t="n" cm="1">
        <f t="array" ref="A1741">IFERROR(INDEX('03.Muestra'!$B$8:$B$42,SMALL(IF("Página Web"='03.Muestra'!$D$8:$D$42,ROW('03.Muestra'!$B$8:$B$42)-MIN(ROW('03.Muestra'!$D$8:$D$42))+1,""),ROW()-1728)),"")</f>
        <v>1.0</v>
      </c>
      <c r="B1741" s="114" t="str" cm="1">
        <f t="array" ref="B1741">IFERROR(INDEX('03.Muestra'!$C$8:$C$42,SMALL(IF("Página Web"='03.Muestra'!$D$8:$D$42,ROW('03.Muestra'!$C$8:$C$42)-MIN(ROW('03.Muestra'!$D$8:$D$42))+1,""),ROW()-1728)),"")</f>
        <v>Home - PortCastelló</v>
      </c>
      <c r="C1741" s="114" t="str" cm="1">
        <f t="array" ref="C1741">IFERROR(INDEX('03.Muestra'!$F$8:$F$42,SMALL(IF("Página Web"='03.Muestra'!$D$8:$D$42,ROW('03.Muestra'!$F$8:$F$42)-MIN(ROW('03.Muestra'!$D$8:$D$42))+1,""),ROW()-1728)),"")</f>
        <v>https://www.portcastello.com/</v>
      </c>
      <c r="D1741" s="130" t="str">
        <f t="shared" si="91"/>
        <v>N/T</v>
      </c>
      <c r="E1741" s="107" t="str">
        <f t="shared" si="90"/>
        <v/>
      </c>
      <c r="F1741" s="19"/>
      <c r="G1741" s="19"/>
      <c r="H1741" s="19"/>
      <c r="I1741" s="19"/>
      <c r="J1741" s="19"/>
      <c r="K1741" s="233"/>
    </row>
    <row r="1742" spans="1:11" ht="12" customHeight="1">
      <c r="A1742" s="219" t="n" cm="1">
        <f t="array" ref="A1742">IFERROR(INDEX('03.Muestra'!$B$8:$B$42,SMALL(IF("Página Web"='03.Muestra'!$D$8:$D$42,ROW('03.Muestra'!$B$8:$B$42)-MIN(ROW('03.Muestra'!$D$8:$D$42))+1,""),ROW()-1728)),"")</f>
        <v>1.0</v>
      </c>
      <c r="B1742" s="114" t="str" cm="1">
        <f t="array" ref="B1742">IFERROR(INDEX('03.Muestra'!$C$8:$C$42,SMALL(IF("Página Web"='03.Muestra'!$D$8:$D$42,ROW('03.Muestra'!$C$8:$C$42)-MIN(ROW('03.Muestra'!$D$8:$D$42))+1,""),ROW()-1728)),"")</f>
        <v>Home - PortCastelló</v>
      </c>
      <c r="C1742" s="114" t="str" cm="1">
        <f t="array" ref="C1742">IFERROR(INDEX('03.Muestra'!$F$8:$F$42,SMALL(IF("Página Web"='03.Muestra'!$D$8:$D$42,ROW('03.Muestra'!$F$8:$F$42)-MIN(ROW('03.Muestra'!$D$8:$D$42))+1,""),ROW()-1728)),"")</f>
        <v>https://www.portcastello.com/</v>
      </c>
      <c r="D1742" s="130" t="str">
        <f t="shared" si="91"/>
        <v>N/T</v>
      </c>
      <c r="E1742" s="107" t="str">
        <f t="shared" si="90"/>
        <v/>
      </c>
      <c r="F1742" s="19"/>
      <c r="G1742" s="19"/>
      <c r="H1742" s="19"/>
      <c r="I1742" s="19"/>
      <c r="J1742" s="19"/>
      <c r="K1742" s="233"/>
    </row>
    <row r="1743" spans="1:11" ht="12" customHeight="1">
      <c r="A1743" s="219" t="n" cm="1">
        <f t="array" ref="A1743">IFERROR(INDEX('03.Muestra'!$B$8:$B$42,SMALL(IF("Página Web"='03.Muestra'!$D$8:$D$42,ROW('03.Muestra'!$B$8:$B$42)-MIN(ROW('03.Muestra'!$D$8:$D$42))+1,""),ROW()-1728)),"")</f>
        <v>1.0</v>
      </c>
      <c r="B1743" s="114" t="str" cm="1">
        <f t="array" ref="B1743">IFERROR(INDEX('03.Muestra'!$C$8:$C$42,SMALL(IF("Página Web"='03.Muestra'!$D$8:$D$42,ROW('03.Muestra'!$C$8:$C$42)-MIN(ROW('03.Muestra'!$D$8:$D$42))+1,""),ROW()-1728)),"")</f>
        <v>Home - PortCastelló</v>
      </c>
      <c r="C1743" s="114" t="str" cm="1">
        <f t="array" ref="C1743">IFERROR(INDEX('03.Muestra'!$F$8:$F$42,SMALL(IF("Página Web"='03.Muestra'!$D$8:$D$42,ROW('03.Muestra'!$F$8:$F$42)-MIN(ROW('03.Muestra'!$D$8:$D$42))+1,""),ROW()-1728)),"")</f>
        <v>https://www.portcastello.com/</v>
      </c>
      <c r="D1743" s="130" t="str">
        <f t="shared" si="91"/>
        <v>N/T</v>
      </c>
      <c r="E1743" s="107" t="str">
        <f t="shared" si="90"/>
        <v/>
      </c>
      <c r="F1743" s="19"/>
      <c r="G1743" s="19"/>
      <c r="H1743" s="19"/>
      <c r="I1743" s="19"/>
      <c r="J1743" s="19"/>
      <c r="K1743" s="233"/>
    </row>
    <row r="1744" spans="1:11" ht="12" customHeight="1">
      <c r="A1744" s="219" t="n" cm="1">
        <f t="array" ref="A1744">IFERROR(INDEX('03.Muestra'!$B$8:$B$42,SMALL(IF("Página Web"='03.Muestra'!$D$8:$D$42,ROW('03.Muestra'!$B$8:$B$42)-MIN(ROW('03.Muestra'!$D$8:$D$42))+1,""),ROW()-1728)),"")</f>
        <v>1.0</v>
      </c>
      <c r="B1744" s="114" t="str" cm="1">
        <f t="array" ref="B1744">IFERROR(INDEX('03.Muestra'!$C$8:$C$42,SMALL(IF("Página Web"='03.Muestra'!$D$8:$D$42,ROW('03.Muestra'!$C$8:$C$42)-MIN(ROW('03.Muestra'!$D$8:$D$42))+1,""),ROW()-1728)),"")</f>
        <v>Home - PortCastelló</v>
      </c>
      <c r="C1744" s="114" t="str" cm="1">
        <f t="array" ref="C1744">IFERROR(INDEX('03.Muestra'!$F$8:$F$42,SMALL(IF("Página Web"='03.Muestra'!$D$8:$D$42,ROW('03.Muestra'!$F$8:$F$42)-MIN(ROW('03.Muestra'!$D$8:$D$42))+1,""),ROW()-1728)),"")</f>
        <v>https://www.portcastello.com/</v>
      </c>
      <c r="D1744" s="130" t="str">
        <f t="shared" si="91"/>
        <v>N/T</v>
      </c>
      <c r="E1744" s="107" t="str">
        <f t="shared" si="90"/>
        <v/>
      </c>
      <c r="F1744" s="19"/>
      <c r="G1744" s="19"/>
      <c r="H1744" s="19"/>
      <c r="I1744" s="19"/>
      <c r="J1744" s="19"/>
      <c r="K1744" s="233"/>
    </row>
    <row r="1745" spans="1:11" ht="12" customHeight="1">
      <c r="A1745" s="219" t="n" cm="1">
        <f t="array" ref="A1745">IFERROR(INDEX('03.Muestra'!$B$8:$B$42,SMALL(IF("Página Web"='03.Muestra'!$D$8:$D$42,ROW('03.Muestra'!$B$8:$B$42)-MIN(ROW('03.Muestra'!$D$8:$D$42))+1,""),ROW()-1728)),"")</f>
        <v>1.0</v>
      </c>
      <c r="B1745" s="114" t="str" cm="1">
        <f t="array" ref="B1745">IFERROR(INDEX('03.Muestra'!$C$8:$C$42,SMALL(IF("Página Web"='03.Muestra'!$D$8:$D$42,ROW('03.Muestra'!$C$8:$C$42)-MIN(ROW('03.Muestra'!$D$8:$D$42))+1,""),ROW()-1728)),"")</f>
        <v>Home - PortCastelló</v>
      </c>
      <c r="C1745" s="114" t="str" cm="1">
        <f t="array" ref="C1745">IFERROR(INDEX('03.Muestra'!$F$8:$F$42,SMALL(IF("Página Web"='03.Muestra'!$D$8:$D$42,ROW('03.Muestra'!$F$8:$F$42)-MIN(ROW('03.Muestra'!$D$8:$D$42))+1,""),ROW()-1728)),"")</f>
        <v>https://www.portcastello.com/</v>
      </c>
      <c r="D1745" s="130" t="str">
        <f t="shared" si="91"/>
        <v>N/T</v>
      </c>
      <c r="E1745" s="107" t="str">
        <f t="shared" si="90"/>
        <v/>
      </c>
      <c r="F1745" s="19"/>
      <c r="G1745" s="19"/>
      <c r="H1745" s="19"/>
      <c r="I1745" s="19"/>
      <c r="J1745" s="19"/>
      <c r="K1745" s="233"/>
    </row>
    <row r="1746" spans="1:11" ht="12" customHeight="1">
      <c r="A1746" s="219" t="n" cm="1">
        <f t="array" ref="A1746">IFERROR(INDEX('03.Muestra'!$B$8:$B$42,SMALL(IF("Página Web"='03.Muestra'!$D$8:$D$42,ROW('03.Muestra'!$B$8:$B$42)-MIN(ROW('03.Muestra'!$D$8:$D$42))+1,""),ROW()-1728)),"")</f>
        <v>1.0</v>
      </c>
      <c r="B1746" s="114" t="str" cm="1">
        <f t="array" ref="B1746">IFERROR(INDEX('03.Muestra'!$C$8:$C$42,SMALL(IF("Página Web"='03.Muestra'!$D$8:$D$42,ROW('03.Muestra'!$C$8:$C$42)-MIN(ROW('03.Muestra'!$D$8:$D$42))+1,""),ROW()-1728)),"")</f>
        <v>Home - PortCastelló</v>
      </c>
      <c r="C1746" s="114" t="str" cm="1">
        <f t="array" ref="C1746">IFERROR(INDEX('03.Muestra'!$F$8:$F$42,SMALL(IF("Página Web"='03.Muestra'!$D$8:$D$42,ROW('03.Muestra'!$F$8:$F$42)-MIN(ROW('03.Muestra'!$D$8:$D$42))+1,""),ROW()-1728)),"")</f>
        <v>https://www.portcastello.com/</v>
      </c>
      <c r="D1746" s="130" t="str">
        <f t="shared" si="91"/>
        <v>N/T</v>
      </c>
      <c r="E1746" s="107" t="str">
        <f t="shared" si="90"/>
        <v/>
      </c>
      <c r="F1746" s="19"/>
      <c r="G1746" s="19"/>
      <c r="H1746" s="19"/>
      <c r="I1746" s="19"/>
      <c r="J1746" s="19"/>
      <c r="K1746" s="233"/>
    </row>
    <row r="1747" spans="1:11" ht="12" customHeight="1">
      <c r="A1747" s="219" t="n" cm="1">
        <f t="array" ref="A1747">IFERROR(INDEX('03.Muestra'!$B$8:$B$42,SMALL(IF("Página Web"='03.Muestra'!$D$8:$D$42,ROW('03.Muestra'!$B$8:$B$42)-MIN(ROW('03.Muestra'!$D$8:$D$42))+1,""),ROW()-1728)),"")</f>
        <v>1.0</v>
      </c>
      <c r="B1747" s="114" t="str" cm="1">
        <f t="array" ref="B1747">IFERROR(INDEX('03.Muestra'!$C$8:$C$42,SMALL(IF("Página Web"='03.Muestra'!$D$8:$D$42,ROW('03.Muestra'!$C$8:$C$42)-MIN(ROW('03.Muestra'!$D$8:$D$42))+1,""),ROW()-1728)),"")</f>
        <v>Home - PortCastelló</v>
      </c>
      <c r="C1747" s="114" t="str" cm="1">
        <f t="array" ref="C1747">IFERROR(INDEX('03.Muestra'!$F$8:$F$42,SMALL(IF("Página Web"='03.Muestra'!$D$8:$D$42,ROW('03.Muestra'!$F$8:$F$42)-MIN(ROW('03.Muestra'!$D$8:$D$42))+1,""),ROW()-1728)),"")</f>
        <v>https://www.portcastello.com/</v>
      </c>
      <c r="D1747" s="130" t="str">
        <f t="shared" si="91"/>
        <v>N/T</v>
      </c>
      <c r="E1747" s="107" t="str">
        <f t="shared" si="90"/>
        <v/>
      </c>
      <c r="F1747" s="19"/>
      <c r="G1747" s="19"/>
      <c r="H1747" s="19"/>
      <c r="I1747" s="19"/>
      <c r="J1747" s="19"/>
      <c r="K1747" s="233"/>
    </row>
    <row r="1748" spans="1:11" ht="12" customHeight="1">
      <c r="A1748" s="219" t="n" cm="1">
        <f t="array" ref="A1748">IFERROR(INDEX('03.Muestra'!$B$8:$B$42,SMALL(IF("Página Web"='03.Muestra'!$D$8:$D$42,ROW('03.Muestra'!$B$8:$B$42)-MIN(ROW('03.Muestra'!$D$8:$D$42))+1,""),ROW()-1728)),"")</f>
        <v>1.0</v>
      </c>
      <c r="B1748" s="114" t="str" cm="1">
        <f t="array" ref="B1748">IFERROR(INDEX('03.Muestra'!$C$8:$C$42,SMALL(IF("Página Web"='03.Muestra'!$D$8:$D$42,ROW('03.Muestra'!$C$8:$C$42)-MIN(ROW('03.Muestra'!$D$8:$D$42))+1,""),ROW()-1728)),"")</f>
        <v>Home - PortCastelló</v>
      </c>
      <c r="C1748" s="114" t="str" cm="1">
        <f t="array" ref="C1748">IFERROR(INDEX('03.Muestra'!$F$8:$F$42,SMALL(IF("Página Web"='03.Muestra'!$D$8:$D$42,ROW('03.Muestra'!$F$8:$F$42)-MIN(ROW('03.Muestra'!$D$8:$D$42))+1,""),ROW()-1728)),"")</f>
        <v>https://www.portcastello.com/</v>
      </c>
      <c r="D1748" s="130" t="str">
        <f t="shared" si="91"/>
        <v>N/T</v>
      </c>
      <c r="E1748" s="107" t="str">
        <f t="shared" si="90"/>
        <v/>
      </c>
      <c r="F1748" s="19"/>
      <c r="G1748" s="19"/>
      <c r="H1748" s="19"/>
      <c r="I1748" s="19"/>
      <c r="J1748" s="19"/>
      <c r="K1748" s="233"/>
    </row>
    <row r="1749" spans="1:11" ht="12" customHeight="1">
      <c r="A1749" s="219" t="n" cm="1">
        <f t="array" ref="A1749">IFERROR(INDEX('03.Muestra'!$B$8:$B$42,SMALL(IF("Página Web"='03.Muestra'!$D$8:$D$42,ROW('03.Muestra'!$B$8:$B$42)-MIN(ROW('03.Muestra'!$D$8:$D$42))+1,""),ROW()-1728)),"")</f>
        <v>1.0</v>
      </c>
      <c r="B1749" s="114" t="str" cm="1">
        <f t="array" ref="B1749">IFERROR(INDEX('03.Muestra'!$C$8:$C$42,SMALL(IF("Página Web"='03.Muestra'!$D$8:$D$42,ROW('03.Muestra'!$C$8:$C$42)-MIN(ROW('03.Muestra'!$D$8:$D$42))+1,""),ROW()-1728)),"")</f>
        <v>Home - PortCastelló</v>
      </c>
      <c r="C1749" s="114" t="str" cm="1">
        <f t="array" ref="C1749">IFERROR(INDEX('03.Muestra'!$F$8:$F$42,SMALL(IF("Página Web"='03.Muestra'!$D$8:$D$42,ROW('03.Muestra'!$F$8:$F$42)-MIN(ROW('03.Muestra'!$D$8:$D$42))+1,""),ROW()-1728)),"")</f>
        <v>https://www.portcastello.com/</v>
      </c>
      <c r="D1749" s="130" t="str">
        <f t="shared" si="91"/>
        <v>N/T</v>
      </c>
      <c r="E1749" s="107" t="str">
        <f t="shared" si="90"/>
        <v/>
      </c>
      <c r="F1749" s="19"/>
      <c r="G1749" s="19"/>
      <c r="H1749" s="19"/>
      <c r="I1749" s="19"/>
      <c r="J1749" s="19"/>
      <c r="K1749" s="233"/>
    </row>
    <row r="1750" spans="1:11" ht="12" customHeight="1">
      <c r="A1750" s="219" t="n" cm="1">
        <f t="array" ref="A1750">IFERROR(INDEX('03.Muestra'!$B$8:$B$42,SMALL(IF("Página Web"='03.Muestra'!$D$8:$D$42,ROW('03.Muestra'!$B$8:$B$42)-MIN(ROW('03.Muestra'!$D$8:$D$42))+1,""),ROW()-1728)),"")</f>
        <v>1.0</v>
      </c>
      <c r="B1750" s="114" t="str" cm="1">
        <f t="array" ref="B1750">IFERROR(INDEX('03.Muestra'!$C$8:$C$42,SMALL(IF("Página Web"='03.Muestra'!$D$8:$D$42,ROW('03.Muestra'!$C$8:$C$42)-MIN(ROW('03.Muestra'!$D$8:$D$42))+1,""),ROW()-1728)),"")</f>
        <v>Home - PortCastelló</v>
      </c>
      <c r="C1750" s="114" t="str" cm="1">
        <f t="array" ref="C1750">IFERROR(INDEX('03.Muestra'!$F$8:$F$42,SMALL(IF("Página Web"='03.Muestra'!$D$8:$D$42,ROW('03.Muestra'!$F$8:$F$42)-MIN(ROW('03.Muestra'!$D$8:$D$42))+1,""),ROW()-1728)),"")</f>
        <v>https://www.portcastello.com/</v>
      </c>
      <c r="D1750" s="130" t="str">
        <f t="shared" si="91"/>
        <v>N/T</v>
      </c>
      <c r="E1750" s="107" t="str">
        <f t="shared" si="90"/>
        <v/>
      </c>
      <c r="F1750" s="19"/>
      <c r="G1750" s="19"/>
      <c r="H1750" s="19"/>
      <c r="I1750" s="19"/>
      <c r="J1750" s="19"/>
      <c r="K1750" s="233"/>
    </row>
    <row r="1751" spans="1:11" ht="12" customHeight="1">
      <c r="A1751" s="219" t="n" cm="1">
        <f t="array" ref="A1751">IFERROR(INDEX('03.Muestra'!$B$8:$B$42,SMALL(IF("Página Web"='03.Muestra'!$D$8:$D$42,ROW('03.Muestra'!$B$8:$B$42)-MIN(ROW('03.Muestra'!$D$8:$D$42))+1,""),ROW()-1728)),"")</f>
        <v>1.0</v>
      </c>
      <c r="B1751" s="114" t="str" cm="1">
        <f t="array" ref="B1751">IFERROR(INDEX('03.Muestra'!$C$8:$C$42,SMALL(IF("Página Web"='03.Muestra'!$D$8:$D$42,ROW('03.Muestra'!$C$8:$C$42)-MIN(ROW('03.Muestra'!$D$8:$D$42))+1,""),ROW()-1728)),"")</f>
        <v>Home - PortCastelló</v>
      </c>
      <c r="C1751" s="114" t="str" cm="1">
        <f t="array" ref="C1751">IFERROR(INDEX('03.Muestra'!$F$8:$F$42,SMALL(IF("Página Web"='03.Muestra'!$D$8:$D$42,ROW('03.Muestra'!$F$8:$F$42)-MIN(ROW('03.Muestra'!$D$8:$D$42))+1,""),ROW()-1728)),"")</f>
        <v>https://www.portcastello.com/</v>
      </c>
      <c r="D1751" s="130" t="str">
        <f t="shared" si="91"/>
        <v>N/T</v>
      </c>
      <c r="E1751" s="107" t="str">
        <f t="shared" si="90"/>
        <v/>
      </c>
      <c r="F1751" s="19"/>
      <c r="G1751" s="19"/>
      <c r="H1751" s="19"/>
      <c r="I1751" s="19"/>
      <c r="J1751" s="19"/>
      <c r="K1751" s="233"/>
    </row>
    <row r="1752" spans="1:11" ht="12" customHeight="1">
      <c r="A1752" s="219" t="n" cm="1">
        <f t="array" ref="A1752">IFERROR(INDEX('03.Muestra'!$B$8:$B$42,SMALL(IF("Página Web"='03.Muestra'!$D$8:$D$42,ROW('03.Muestra'!$B$8:$B$42)-MIN(ROW('03.Muestra'!$D$8:$D$42))+1,""),ROW()-1728)),"")</f>
        <v>1.0</v>
      </c>
      <c r="B1752" s="114" t="str" cm="1">
        <f t="array" ref="B1752">IFERROR(INDEX('03.Muestra'!$C$8:$C$42,SMALL(IF("Página Web"='03.Muestra'!$D$8:$D$42,ROW('03.Muestra'!$C$8:$C$42)-MIN(ROW('03.Muestra'!$D$8:$D$42))+1,""),ROW()-1728)),"")</f>
        <v>Home - PortCastelló</v>
      </c>
      <c r="C1752" s="114" t="str" cm="1">
        <f t="array" ref="C1752">IFERROR(INDEX('03.Muestra'!$F$8:$F$42,SMALL(IF("Página Web"='03.Muestra'!$D$8:$D$42,ROW('03.Muestra'!$F$8:$F$42)-MIN(ROW('03.Muestra'!$D$8:$D$42))+1,""),ROW()-1728)),"")</f>
        <v>https://www.portcastello.com/</v>
      </c>
      <c r="D1752" s="130" t="str">
        <f t="shared" si="91"/>
        <v>N/T</v>
      </c>
      <c r="E1752" s="107" t="str">
        <f t="shared" si="90"/>
        <v/>
      </c>
      <c r="F1752" s="19"/>
      <c r="G1752" s="19"/>
      <c r="H1752" s="19"/>
      <c r="I1752" s="19"/>
      <c r="J1752" s="19"/>
      <c r="K1752" s="233"/>
    </row>
    <row r="1753" spans="1:11" ht="12" customHeight="1">
      <c r="A1753" s="219" t="n" cm="1">
        <f t="array" ref="A1753">IFERROR(INDEX('03.Muestra'!$B$8:$B$42,SMALL(IF("Página Web"='03.Muestra'!$D$8:$D$42,ROW('03.Muestra'!$B$8:$B$42)-MIN(ROW('03.Muestra'!$D$8:$D$42))+1,""),ROW()-1728)),"")</f>
        <v>1.0</v>
      </c>
      <c r="B1753" s="114" t="str" cm="1">
        <f t="array" ref="B1753">IFERROR(INDEX('03.Muestra'!$C$8:$C$42,SMALL(IF("Página Web"='03.Muestra'!$D$8:$D$42,ROW('03.Muestra'!$C$8:$C$42)-MIN(ROW('03.Muestra'!$D$8:$D$42))+1,""),ROW()-1728)),"")</f>
        <v>Home - PortCastelló</v>
      </c>
      <c r="C1753" s="114" t="str" cm="1">
        <f t="array" ref="C1753">IFERROR(INDEX('03.Muestra'!$F$8:$F$42,SMALL(IF("Página Web"='03.Muestra'!$D$8:$D$42,ROW('03.Muestra'!$F$8:$F$42)-MIN(ROW('03.Muestra'!$D$8:$D$42))+1,""),ROW()-1728)),"")</f>
        <v>https://www.portcastello.com/</v>
      </c>
      <c r="D1753" s="130" t="str">
        <f t="shared" si="91"/>
        <v>N/T</v>
      </c>
      <c r="E1753" s="107" t="str">
        <f t="shared" si="90"/>
        <v/>
      </c>
      <c r="F1753" s="19"/>
      <c r="G1753" s="19"/>
      <c r="H1753" s="19"/>
      <c r="I1753" s="19"/>
      <c r="J1753" s="19"/>
      <c r="K1753" s="233"/>
    </row>
    <row r="1754" spans="1:11" ht="12" customHeight="1">
      <c r="A1754" s="219" t="n" cm="1">
        <f t="array" ref="A1754">IFERROR(INDEX('03.Muestra'!$B$8:$B$42,SMALL(IF("Página Web"='03.Muestra'!$D$8:$D$42,ROW('03.Muestra'!$B$8:$B$42)-MIN(ROW('03.Muestra'!$D$8:$D$42))+1,""),ROW()-1728)),"")</f>
        <v>1.0</v>
      </c>
      <c r="B1754" s="114" t="str" cm="1">
        <f t="array" ref="B1754">IFERROR(INDEX('03.Muestra'!$C$8:$C$42,SMALL(IF("Página Web"='03.Muestra'!$D$8:$D$42,ROW('03.Muestra'!$C$8:$C$42)-MIN(ROW('03.Muestra'!$D$8:$D$42))+1,""),ROW()-1728)),"")</f>
        <v>Home - PortCastelló</v>
      </c>
      <c r="C1754" s="114" t="str" cm="1">
        <f t="array" ref="C1754">IFERROR(INDEX('03.Muestra'!$F$8:$F$42,SMALL(IF("Página Web"='03.Muestra'!$D$8:$D$42,ROW('03.Muestra'!$F$8:$F$42)-MIN(ROW('03.Muestra'!$D$8:$D$42))+1,""),ROW()-1728)),"")</f>
        <v>https://www.portcastello.com/</v>
      </c>
      <c r="D1754" s="130" t="str">
        <f t="shared" si="91"/>
        <v>N/T</v>
      </c>
      <c r="E1754" s="107" t="str">
        <f t="shared" si="90"/>
        <v/>
      </c>
      <c r="F1754" s="19"/>
      <c r="G1754" s="19"/>
      <c r="H1754" s="19"/>
      <c r="I1754" s="19"/>
      <c r="J1754" s="19"/>
      <c r="K1754" s="233"/>
    </row>
    <row r="1755" spans="1:11" ht="12" customHeight="1">
      <c r="A1755" s="219" t="n" cm="1">
        <f t="array" ref="A1755">IFERROR(INDEX('03.Muestra'!$B$8:$B$42,SMALL(IF("Página Web"='03.Muestra'!$D$8:$D$42,ROW('03.Muestra'!$B$8:$B$42)-MIN(ROW('03.Muestra'!$D$8:$D$42))+1,""),ROW()-1728)),"")</f>
        <v>1.0</v>
      </c>
      <c r="B1755" s="114" t="str" cm="1">
        <f t="array" ref="B1755">IFERROR(INDEX('03.Muestra'!$C$8:$C$42,SMALL(IF("Página Web"='03.Muestra'!$D$8:$D$42,ROW('03.Muestra'!$C$8:$C$42)-MIN(ROW('03.Muestra'!$D$8:$D$42))+1,""),ROW()-1728)),"")</f>
        <v>Home - PortCastelló</v>
      </c>
      <c r="C1755" s="114" t="str" cm="1">
        <f t="array" ref="C1755">IFERROR(INDEX('03.Muestra'!$F$8:$F$42,SMALL(IF("Página Web"='03.Muestra'!$D$8:$D$42,ROW('03.Muestra'!$F$8:$F$42)-MIN(ROW('03.Muestra'!$D$8:$D$42))+1,""),ROW()-1728)),"")</f>
        <v>https://www.portcastello.com/</v>
      </c>
      <c r="D1755" s="130" t="str">
        <f t="shared" si="91"/>
        <v>N/T</v>
      </c>
      <c r="E1755" s="107" t="str">
        <f t="shared" si="90"/>
        <v/>
      </c>
      <c r="F1755" s="19"/>
      <c r="G1755" s="19"/>
      <c r="H1755" s="19"/>
      <c r="I1755" s="19"/>
      <c r="J1755" s="19"/>
      <c r="K1755" s="233"/>
    </row>
    <row r="1756" spans="1:11" ht="12" customHeight="1">
      <c r="A1756" s="219" t="n" cm="1">
        <f t="array" ref="A1756">IFERROR(INDEX('03.Muestra'!$B$8:$B$42,SMALL(IF("Página Web"='03.Muestra'!$D$8:$D$42,ROW('03.Muestra'!$B$8:$B$42)-MIN(ROW('03.Muestra'!$D$8:$D$42))+1,""),ROW()-1728)),"")</f>
        <v>1.0</v>
      </c>
      <c r="B1756" s="114" t="str" cm="1">
        <f t="array" ref="B1756">IFERROR(INDEX('03.Muestra'!$C$8:$C$42,SMALL(IF("Página Web"='03.Muestra'!$D$8:$D$42,ROW('03.Muestra'!$C$8:$C$42)-MIN(ROW('03.Muestra'!$D$8:$D$42))+1,""),ROW()-1728)),"")</f>
        <v>Home - PortCastelló</v>
      </c>
      <c r="C1756" s="114" t="str" cm="1">
        <f t="array" ref="C1756">IFERROR(INDEX('03.Muestra'!$F$8:$F$42,SMALL(IF("Página Web"='03.Muestra'!$D$8:$D$42,ROW('03.Muestra'!$F$8:$F$42)-MIN(ROW('03.Muestra'!$D$8:$D$42))+1,""),ROW()-1728)),"")</f>
        <v>https://www.portcastello.com/</v>
      </c>
      <c r="D1756" s="130" t="str">
        <f t="shared" si="91"/>
        <v>N/T</v>
      </c>
      <c r="E1756" s="107" t="str">
        <f t="shared" si="90"/>
        <v/>
      </c>
      <c r="G1756" s="19"/>
      <c r="H1756" s="19"/>
      <c r="I1756" s="19"/>
      <c r="J1756" s="19"/>
      <c r="K1756" s="233"/>
    </row>
    <row r="1757" spans="1:11" ht="12" customHeight="1">
      <c r="A1757" s="219" t="n" cm="1">
        <f t="array" ref="A1757">IFERROR(INDEX('03.Muestra'!$B$8:$B$42,SMALL(IF("Página Web"='03.Muestra'!$D$8:$D$42,ROW('03.Muestra'!$B$8:$B$42)-MIN(ROW('03.Muestra'!$D$8:$D$42))+1,""),ROW()-1728)),"")</f>
        <v>1.0</v>
      </c>
      <c r="B1757" s="114" t="str" cm="1">
        <f t="array" ref="B1757">IFERROR(INDEX('03.Muestra'!$C$8:$C$42,SMALL(IF("Página Web"='03.Muestra'!$D$8:$D$42,ROW('03.Muestra'!$C$8:$C$42)-MIN(ROW('03.Muestra'!$D$8:$D$42))+1,""),ROW()-1728)),"")</f>
        <v>Home - PortCastelló</v>
      </c>
      <c r="C1757" s="114" t="str" cm="1">
        <f t="array" ref="C1757">IFERROR(INDEX('03.Muestra'!$F$8:$F$42,SMALL(IF("Página Web"='03.Muestra'!$D$8:$D$42,ROW('03.Muestra'!$F$8:$F$42)-MIN(ROW('03.Muestra'!$D$8:$D$42))+1,""),ROW()-1728)),"")</f>
        <v>https://www.portcastello.com/</v>
      </c>
      <c r="D1757" s="130" t="str">
        <f t="shared" si="91"/>
        <v>N/T</v>
      </c>
      <c r="E1757" s="107" t="str">
        <f t="shared" si="90"/>
        <v/>
      </c>
      <c r="F1757" s="124"/>
      <c r="G1757" s="19"/>
      <c r="H1757" s="19"/>
      <c r="I1757" s="19"/>
      <c r="J1757" s="19"/>
      <c r="K1757" s="233"/>
    </row>
    <row r="1758" spans="1:11" ht="12" customHeight="1">
      <c r="A1758" s="219" t="n" cm="1">
        <f t="array" ref="A1758">IFERROR(INDEX('03.Muestra'!$B$8:$B$42,SMALL(IF("Página Web"='03.Muestra'!$D$8:$D$42,ROW('03.Muestra'!$B$8:$B$42)-MIN(ROW('03.Muestra'!$D$8:$D$42))+1,""),ROW()-1728)),"")</f>
        <v>1.0</v>
      </c>
      <c r="B1758" s="114" t="str" cm="1">
        <f t="array" ref="B1758">IFERROR(INDEX('03.Muestra'!$C$8:$C$42,SMALL(IF("Página Web"='03.Muestra'!$D$8:$D$42,ROW('03.Muestra'!$C$8:$C$42)-MIN(ROW('03.Muestra'!$D$8:$D$42))+1,""),ROW()-1728)),"")</f>
        <v>Home - PortCastelló</v>
      </c>
      <c r="C1758" s="114" t="str" cm="1">
        <f t="array" ref="C1758">IFERROR(INDEX('03.Muestra'!$F$8:$F$42,SMALL(IF("Página Web"='03.Muestra'!$D$8:$D$42,ROW('03.Muestra'!$F$8:$F$42)-MIN(ROW('03.Muestra'!$D$8:$D$42))+1,""),ROW()-1728)),"")</f>
        <v>https://www.portcastello.com/</v>
      </c>
      <c r="D1758" s="130" t="str">
        <f t="shared" si="91"/>
        <v>N/T</v>
      </c>
      <c r="E1758" s="107" t="str">
        <f t="shared" si="90"/>
        <v/>
      </c>
      <c r="F1758" s="124"/>
      <c r="G1758" s="19"/>
      <c r="H1758" s="19"/>
      <c r="I1758" s="19"/>
      <c r="J1758" s="19"/>
      <c r="K1758" s="233"/>
    </row>
    <row r="1759" spans="1:11" ht="12" customHeight="1">
      <c r="A1759" s="219" t="n" cm="1">
        <f t="array" ref="A1759">IFERROR(INDEX('03.Muestra'!$B$8:$B$42,SMALL(IF("Página Web"='03.Muestra'!$D$8:$D$42,ROW('03.Muestra'!$B$8:$B$42)-MIN(ROW('03.Muestra'!$D$8:$D$42))+1,""),ROW()-1728)),"")</f>
        <v>1.0</v>
      </c>
      <c r="B1759" s="114" t="str" cm="1">
        <f t="array" ref="B1759">IFERROR(INDEX('03.Muestra'!$C$8:$C$42,SMALL(IF("Página Web"='03.Muestra'!$D$8:$D$42,ROW('03.Muestra'!$C$8:$C$42)-MIN(ROW('03.Muestra'!$D$8:$D$42))+1,""),ROW()-1728)),"")</f>
        <v>Home - PortCastelló</v>
      </c>
      <c r="C1759" s="114" t="str" cm="1">
        <f t="array" ref="C1759">IFERROR(INDEX('03.Muestra'!$F$8:$F$42,SMALL(IF("Página Web"='03.Muestra'!$D$8:$D$42,ROW('03.Muestra'!$F$8:$F$42)-MIN(ROW('03.Muestra'!$D$8:$D$42))+1,""),ROW()-1728)),"")</f>
        <v>https://www.portcastello.com/</v>
      </c>
      <c r="D1759" s="130" t="str">
        <f t="shared" si="91"/>
        <v>N/T</v>
      </c>
      <c r="E1759" s="107" t="str">
        <f t="shared" si="90"/>
        <v/>
      </c>
      <c r="F1759" s="124"/>
      <c r="G1759" s="19"/>
      <c r="H1759" s="19"/>
      <c r="I1759" s="19"/>
      <c r="J1759" s="19"/>
      <c r="K1759" s="233"/>
    </row>
    <row r="1760" spans="1:11" ht="12" customHeight="1">
      <c r="A1760" s="219" t="n" cm="1">
        <f t="array" ref="A1760">IFERROR(INDEX('03.Muestra'!$B$8:$B$42,SMALL(IF("Página Web"='03.Muestra'!$D$8:$D$42,ROW('03.Muestra'!$B$8:$B$42)-MIN(ROW('03.Muestra'!$D$8:$D$42))+1,""),ROW()-1728)),"")</f>
        <v>1.0</v>
      </c>
      <c r="B1760" s="114" t="str" cm="1">
        <f t="array" ref="B1760">IFERROR(INDEX('03.Muestra'!$C$8:$C$42,SMALL(IF("Página Web"='03.Muestra'!$D$8:$D$42,ROW('03.Muestra'!$C$8:$C$42)-MIN(ROW('03.Muestra'!$D$8:$D$42))+1,""),ROW()-1728)),"")</f>
        <v>Home - PortCastelló</v>
      </c>
      <c r="C1760" s="114" t="str" cm="1">
        <f t="array" ref="C1760">IFERROR(INDEX('03.Muestra'!$F$8:$F$42,SMALL(IF("Página Web"='03.Muestra'!$D$8:$D$42,ROW('03.Muestra'!$F$8:$F$42)-MIN(ROW('03.Muestra'!$D$8:$D$42))+1,""),ROW()-1728)),"")</f>
        <v>https://www.portcastello.com/</v>
      </c>
      <c r="D1760" s="130" t="str">
        <f t="shared" si="91"/>
        <v>N/T</v>
      </c>
      <c r="E1760" s="107" t="str">
        <f t="shared" si="90"/>
        <v/>
      </c>
      <c r="F1760" s="124"/>
      <c r="G1760" s="19"/>
      <c r="H1760" s="19"/>
      <c r="I1760" s="19"/>
      <c r="J1760" s="19"/>
      <c r="K1760" s="233"/>
    </row>
    <row r="1761" spans="1:11" ht="12" customHeight="1">
      <c r="A1761" s="219" t="n" cm="1">
        <f t="array" ref="A1761">IFERROR(INDEX('03.Muestra'!$B$8:$B$42,SMALL(IF("Página Web"='03.Muestra'!$D$8:$D$42,ROW('03.Muestra'!$B$8:$B$42)-MIN(ROW('03.Muestra'!$D$8:$D$42))+1,""),ROW()-1728)),"")</f>
        <v>1.0</v>
      </c>
      <c r="B1761" s="114" t="str" cm="1">
        <f t="array" ref="B1761">IFERROR(INDEX('03.Muestra'!$C$8:$C$42,SMALL(IF("Página Web"='03.Muestra'!$D$8:$D$42,ROW('03.Muestra'!$C$8:$C$42)-MIN(ROW('03.Muestra'!$D$8:$D$42))+1,""),ROW()-1728)),"")</f>
        <v>Home - PortCastelló</v>
      </c>
      <c r="C1761" s="114" t="str" cm="1">
        <f t="array" ref="C1761">IFERROR(INDEX('03.Muestra'!$F$8:$F$42,SMALL(IF("Página Web"='03.Muestra'!$D$8:$D$42,ROW('03.Muestra'!$F$8:$F$42)-MIN(ROW('03.Muestra'!$D$8:$D$42))+1,""),ROW()-1728)),"")</f>
        <v>https://www.portcastello.com/</v>
      </c>
      <c r="D1761" s="130" t="str">
        <f t="shared" si="91"/>
        <v>N/T</v>
      </c>
      <c r="E1761" s="107" t="str">
        <f t="shared" si="90"/>
        <v/>
      </c>
      <c r="F1761" s="124"/>
      <c r="G1761" s="19"/>
      <c r="H1761" s="19"/>
      <c r="I1761" s="19"/>
      <c r="J1761" s="19"/>
      <c r="K1761" s="233"/>
    </row>
    <row r="1762" spans="1:11" ht="12" customHeight="1">
      <c r="A1762" s="219" t="str" cm="1">
        <f t="array" ref="A1762">IFERROR(INDEX('03.Muestra'!$B$8:$B$42,SMALL(IF("Página Web"='03.Muestra'!$D$8:$D$42,ROW('03.Muestra'!$B$8:$B$42)-MIN(ROW('03.Muestra'!$D$8:$D$42))+1,""),ROW()-1728)),"")</f>
        <v/>
      </c>
      <c r="B1762" s="114" t="str" cm="1">
        <f t="array" ref="B1762">IFERROR(INDEX('03.Muestra'!$C$8:$C$42,SMALL(IF("Página Web"='03.Muestra'!$D$8:$D$42,ROW('03.Muestra'!$C$8:$C$42)-MIN(ROW('03.Muestra'!$D$8:$D$42))+1,""),ROW()-1728)),"")</f>
        <v/>
      </c>
      <c r="C1762" s="114" t="str" cm="1">
        <f t="array" ref="C1762">IFERROR(INDEX('03.Muestra'!$F$8:$F$42,SMALL(IF("Página Web"='03.Muestra'!$D$8:$D$42,ROW('03.Muestra'!$F$8:$F$42)-MIN(ROW('03.Muestra'!$D$8:$D$42))+1,""),ROW()-1728)),"")</f>
        <v/>
      </c>
      <c r="D1762" s="130" t="str">
        <f t="shared" si="91"/>
        <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268</v>
      </c>
      <c r="B1766" s="24" t="s">
        <v>90</v>
      </c>
      <c r="C1766" s="25" t="s">
        <v>419</v>
      </c>
      <c r="D1766" s="26" t="s">
        <v>32</v>
      </c>
      <c r="E1766" s="123"/>
      <c r="K1766" s="233"/>
    </row>
    <row r="1767" spans="1:11" ht="12" customHeight="1">
      <c r="A1767" s="219" t="n" cm="1">
        <f t="array" ref="A1767">IFERROR(INDEX('03.Muestra'!$B$8:$B$42,SMALL(IF("Página Web"='03.Muestra'!$D$8:$D$42,ROW('03.Muestra'!$B$8:$B$42)-MIN(ROW('03.Muestra'!$D$8:$D$42))+1,""),ROW()-1766)),"")</f>
        <v>1.0</v>
      </c>
      <c r="B1767" s="114" t="str" cm="1">
        <f t="array" ref="B1767">IFERROR(INDEX('03.Muestra'!$C$8:$C$42,SMALL(IF("Página Web"='03.Muestra'!$D$8:$D$42,ROW('03.Muestra'!$C$8:$C$42)-MIN(ROW('03.Muestra'!$D$8:$D$42))+1,""),ROW()-1766)),"")</f>
        <v>Home - PortCastelló</v>
      </c>
      <c r="C1767" s="114" t="str" cm="1">
        <f t="array" ref="C1767">IFERROR(INDEX('03.Muestra'!$F$8:$F$42,SMALL(IF("Página Web"='03.Muestra'!$D$8:$D$42,ROW('03.Muestra'!$F$8:$F$42)-MIN(ROW('03.Muestra'!$D$8:$D$42))+1,""),ROW()-1766)),"")</f>
        <v>https://www.portcastello.com/</v>
      </c>
      <c r="D1767" s="130" t="str">
        <f>IF(AND(B1767&lt;&gt;"",C1767&lt;&gt;""),"N/T","")</f>
        <v>N/T</v>
      </c>
      <c r="E1767" s="107" t="str">
        <f t="shared" ref="E1767:E1801" si="92">IF(D1767&lt;&gt;"",IF(AND(B1767&lt;&gt;"",C1767&lt;&gt;""),"","ERR"),"")</f>
        <v/>
      </c>
      <c r="F1767" s="115" t="s">
        <v>33</v>
      </c>
      <c r="G1767" s="116" t="s">
        <v>37</v>
      </c>
      <c r="H1767" s="117" t="s">
        <v>35</v>
      </c>
      <c r="I1767" s="118" t="s">
        <v>28</v>
      </c>
      <c r="J1767" s="119" t="s">
        <v>26</v>
      </c>
      <c r="K1767" s="226" t="s">
        <v>474</v>
      </c>
    </row>
    <row r="1768" spans="1:11" ht="12" customHeight="1">
      <c r="A1768" s="219" t="n" cm="1">
        <f t="array" ref="A1768">IFERROR(INDEX('03.Muestra'!$B$8:$B$42,SMALL(IF("Página Web"='03.Muestra'!$D$8:$D$42,ROW('03.Muestra'!$B$8:$B$42)-MIN(ROW('03.Muestra'!$D$8:$D$42))+1,""),ROW()-1766)),"")</f>
        <v>1.0</v>
      </c>
      <c r="B1768" s="114" t="str" cm="1">
        <f t="array" ref="B1768">IFERROR(INDEX('03.Muestra'!$C$8:$C$42,SMALL(IF("Página Web"='03.Muestra'!$D$8:$D$42,ROW('03.Muestra'!$C$8:$C$42)-MIN(ROW('03.Muestra'!$D$8:$D$42))+1,""),ROW()-1766)),"")</f>
        <v>Home - PortCastelló</v>
      </c>
      <c r="C1768" s="114" t="str" cm="1">
        <f t="array" ref="C1768">IFERROR(INDEX('03.Muestra'!$F$8:$F$42,SMALL(IF("Página Web"='03.Muestra'!$D$8:$D$42,ROW('03.Muestra'!$F$8:$F$42)-MIN(ROW('03.Muestra'!$D$8:$D$42))+1,""),ROW()-1766)),"")</f>
        <v>https://www.portcastello.com/</v>
      </c>
      <c r="D1768" s="130" t="str">
        <f t="shared" ref="D1768:D1801" si="93">IF(AND(B1768&lt;&gt;"",C1768&lt;&gt;""),"N/T","")</f>
        <v>N/T</v>
      </c>
      <c r="E1768" s="107" t="str">
        <f t="shared" si="92"/>
        <v/>
      </c>
      <c r="F1768" s="120" t="n">
        <f ca="1">COUNTIF($D1767:INDIRECT("$D" &amp;  SUM(ROW()-1,'03.Muestra'!$D$45)-1),F1767)</f>
        <v>33.0</v>
      </c>
      <c r="G1768" s="120" t="n">
        <f ca="1">COUNTIF($D1767:INDIRECT("$D" &amp;  SUM(ROW()-1,'03.Muestra'!$D$45)-1),G1767)</f>
        <v>0.0</v>
      </c>
      <c r="H1768" s="120" t="n">
        <f ca="1">COUNTIF($D1767:INDIRECT("$D" &amp;  SUM(ROW()-1,'03.Muestra'!$D$45)-1),H1767)</f>
        <v>0.0</v>
      </c>
      <c r="I1768" s="120" t="n">
        <f ca="1">COUNTIF($D1767:INDIRECT("$D" &amp;  SUM(ROW()-1,'03.Muestra'!$D$45)-1),I1767)</f>
        <v>0.0</v>
      </c>
      <c r="J1768" s="120" t="n">
        <f ca="1">COUNTIF($D1767:INDIRECT("$D" &amp;  SUM(ROW()-1,'03.Muestra'!$D$45)-1),J1767)</f>
        <v>0.0</v>
      </c>
      <c r="K1768" s="227" t="n">
        <f ca="1">IF(COUNTIF('03.Muestra'!$D$8:$D$42,"Página Web")=0,0,COUNTBLANK($D1767:INDIRECT("$D" &amp;  SUM(ROW()-1,COUNTIF('03.Muestra'!$D$8:$D$42,"Página Web"))-1)))</f>
        <v>0.0</v>
      </c>
    </row>
    <row r="1769" spans="1:11" ht="12" customHeight="1">
      <c r="A1769" s="219" t="n" cm="1">
        <f t="array" ref="A1769">IFERROR(INDEX('03.Muestra'!$B$8:$B$42,SMALL(IF("Página Web"='03.Muestra'!$D$8:$D$42,ROW('03.Muestra'!$B$8:$B$42)-MIN(ROW('03.Muestra'!$D$8:$D$42))+1,""),ROW()-1766)),"")</f>
        <v>1.0</v>
      </c>
      <c r="B1769" s="114" t="str" cm="1">
        <f t="array" ref="B1769">IFERROR(INDEX('03.Muestra'!$C$8:$C$42,SMALL(IF("Página Web"='03.Muestra'!$D$8:$D$42,ROW('03.Muestra'!$C$8:$C$42)-MIN(ROW('03.Muestra'!$D$8:$D$42))+1,""),ROW()-1766)),"")</f>
        <v>Home - PortCastelló</v>
      </c>
      <c r="C1769" s="114" t="str" cm="1">
        <f t="array" ref="C1769">IFERROR(INDEX('03.Muestra'!$F$8:$F$42,SMALL(IF("Página Web"='03.Muestra'!$D$8:$D$42,ROW('03.Muestra'!$F$8:$F$42)-MIN(ROW('03.Muestra'!$D$8:$D$42))+1,""),ROW()-1766)),"")</f>
        <v>https://www.portcastello.com/</v>
      </c>
      <c r="D1769" s="130" t="str">
        <f t="shared" si="93"/>
        <v>N/T</v>
      </c>
      <c r="E1769" s="107" t="str">
        <f t="shared" si="92"/>
        <v/>
      </c>
      <c r="F1769" s="19"/>
      <c r="G1769" s="19"/>
      <c r="H1769" s="19"/>
      <c r="I1769" s="19"/>
      <c r="J1769" s="19"/>
      <c r="K1769" s="233"/>
    </row>
    <row r="1770" spans="1:11" ht="12" customHeight="1">
      <c r="A1770" s="219" t="n" cm="1">
        <f t="array" ref="A1770">IFERROR(INDEX('03.Muestra'!$B$8:$B$42,SMALL(IF("Página Web"='03.Muestra'!$D$8:$D$42,ROW('03.Muestra'!$B$8:$B$42)-MIN(ROW('03.Muestra'!$D$8:$D$42))+1,""),ROW()-1766)),"")</f>
        <v>1.0</v>
      </c>
      <c r="B1770" s="114" t="str" cm="1">
        <f t="array" ref="B1770">IFERROR(INDEX('03.Muestra'!$C$8:$C$42,SMALL(IF("Página Web"='03.Muestra'!$D$8:$D$42,ROW('03.Muestra'!$C$8:$C$42)-MIN(ROW('03.Muestra'!$D$8:$D$42))+1,""),ROW()-1766)),"")</f>
        <v>Home - PortCastelló</v>
      </c>
      <c r="C1770" s="114" t="str" cm="1">
        <f t="array" ref="C1770">IFERROR(INDEX('03.Muestra'!$F$8:$F$42,SMALL(IF("Página Web"='03.Muestra'!$D$8:$D$42,ROW('03.Muestra'!$F$8:$F$42)-MIN(ROW('03.Muestra'!$D$8:$D$42))+1,""),ROW()-1766)),"")</f>
        <v>https://www.portcastello.com/</v>
      </c>
      <c r="D1770" s="130" t="str">
        <f t="shared" si="93"/>
        <v>N/T</v>
      </c>
      <c r="E1770" s="107" t="str">
        <f t="shared" si="92"/>
        <v/>
      </c>
      <c r="F1770" s="19"/>
      <c r="G1770" s="19"/>
      <c r="H1770" s="19"/>
      <c r="I1770" s="19"/>
      <c r="J1770" s="19"/>
      <c r="K1770" s="234"/>
    </row>
    <row r="1771" spans="1:11" ht="12" customHeight="1">
      <c r="A1771" s="219" t="n" cm="1">
        <f t="array" ref="A1771">IFERROR(INDEX('03.Muestra'!$B$8:$B$42,SMALL(IF("Página Web"='03.Muestra'!$D$8:$D$42,ROW('03.Muestra'!$B$8:$B$42)-MIN(ROW('03.Muestra'!$D$8:$D$42))+1,""),ROW()-1766)),"")</f>
        <v>1.0</v>
      </c>
      <c r="B1771" s="114" t="str" cm="1">
        <f t="array" ref="B1771">IFERROR(INDEX('03.Muestra'!$C$8:$C$42,SMALL(IF("Página Web"='03.Muestra'!$D$8:$D$42,ROW('03.Muestra'!$C$8:$C$42)-MIN(ROW('03.Muestra'!$D$8:$D$42))+1,""),ROW()-1766)),"")</f>
        <v>Home - PortCastelló</v>
      </c>
      <c r="C1771" s="114" t="str" cm="1">
        <f t="array" ref="C1771">IFERROR(INDEX('03.Muestra'!$F$8:$F$42,SMALL(IF("Página Web"='03.Muestra'!$D$8:$D$42,ROW('03.Muestra'!$F$8:$F$42)-MIN(ROW('03.Muestra'!$D$8:$D$42))+1,""),ROW()-1766)),"")</f>
        <v>https://www.portcastello.com/</v>
      </c>
      <c r="D1771" s="130" t="str">
        <f t="shared" si="93"/>
        <v>N/T</v>
      </c>
      <c r="E1771" s="107" t="str">
        <f t="shared" si="92"/>
        <v/>
      </c>
      <c r="F1771" s="122"/>
      <c r="G1771" s="19"/>
      <c r="H1771" s="19"/>
      <c r="I1771" s="19"/>
      <c r="J1771" s="19"/>
      <c r="K1771" s="234"/>
    </row>
    <row r="1772" spans="1:11" ht="12" customHeight="1">
      <c r="A1772" s="219" t="n" cm="1">
        <f t="array" ref="A1772">IFERROR(INDEX('03.Muestra'!$B$8:$B$42,SMALL(IF("Página Web"='03.Muestra'!$D$8:$D$42,ROW('03.Muestra'!$B$8:$B$42)-MIN(ROW('03.Muestra'!$D$8:$D$42))+1,""),ROW()-1766)),"")</f>
        <v>1.0</v>
      </c>
      <c r="B1772" s="114" t="str" cm="1">
        <f t="array" ref="B1772">IFERROR(INDEX('03.Muestra'!$C$8:$C$42,SMALL(IF("Página Web"='03.Muestra'!$D$8:$D$42,ROW('03.Muestra'!$C$8:$C$42)-MIN(ROW('03.Muestra'!$D$8:$D$42))+1,""),ROW()-1766)),"")</f>
        <v>Home - PortCastelló</v>
      </c>
      <c r="C1772" s="114" t="str" cm="1">
        <f t="array" ref="C1772">IFERROR(INDEX('03.Muestra'!$F$8:$F$42,SMALL(IF("Página Web"='03.Muestra'!$D$8:$D$42,ROW('03.Muestra'!$F$8:$F$42)-MIN(ROW('03.Muestra'!$D$8:$D$42))+1,""),ROW()-1766)),"")</f>
        <v>https://www.portcastello.com/</v>
      </c>
      <c r="D1772" s="130" t="str">
        <f t="shared" si="93"/>
        <v>N/T</v>
      </c>
      <c r="E1772" s="107" t="str">
        <f t="shared" si="92"/>
        <v/>
      </c>
      <c r="F1772" s="19"/>
      <c r="G1772" s="19"/>
      <c r="H1772" s="19"/>
      <c r="I1772" s="19"/>
      <c r="J1772" s="19"/>
      <c r="K1772" s="234"/>
    </row>
    <row r="1773" spans="1:11" ht="12" customHeight="1">
      <c r="A1773" s="219" t="n" cm="1">
        <f t="array" ref="A1773">IFERROR(INDEX('03.Muestra'!$B$8:$B$42,SMALL(IF("Página Web"='03.Muestra'!$D$8:$D$42,ROW('03.Muestra'!$B$8:$B$42)-MIN(ROW('03.Muestra'!$D$8:$D$42))+1,""),ROW()-1766)),"")</f>
        <v>1.0</v>
      </c>
      <c r="B1773" s="114" t="str" cm="1">
        <f t="array" ref="B1773">IFERROR(INDEX('03.Muestra'!$C$8:$C$42,SMALL(IF("Página Web"='03.Muestra'!$D$8:$D$42,ROW('03.Muestra'!$C$8:$C$42)-MIN(ROW('03.Muestra'!$D$8:$D$42))+1,""),ROW()-1766)),"")</f>
        <v>Home - PortCastelló</v>
      </c>
      <c r="C1773" s="114" t="str" cm="1">
        <f t="array" ref="C1773">IFERROR(INDEX('03.Muestra'!$F$8:$F$42,SMALL(IF("Página Web"='03.Muestra'!$D$8:$D$42,ROW('03.Muestra'!$F$8:$F$42)-MIN(ROW('03.Muestra'!$D$8:$D$42))+1,""),ROW()-1766)),"")</f>
        <v>https://www.portcastello.com/</v>
      </c>
      <c r="D1773" s="130" t="str">
        <f t="shared" si="93"/>
        <v>N/T</v>
      </c>
      <c r="E1773" s="107" t="str">
        <f t="shared" si="92"/>
        <v/>
      </c>
      <c r="F1773" s="19"/>
      <c r="G1773" s="19"/>
      <c r="H1773" s="19"/>
      <c r="I1773" s="19"/>
      <c r="J1773" s="19"/>
      <c r="K1773" s="233"/>
    </row>
    <row r="1774" spans="1:11" ht="12" customHeight="1">
      <c r="A1774" s="219" t="n" cm="1">
        <f t="array" ref="A1774">IFERROR(INDEX('03.Muestra'!$B$8:$B$42,SMALL(IF("Página Web"='03.Muestra'!$D$8:$D$42,ROW('03.Muestra'!$B$8:$B$42)-MIN(ROW('03.Muestra'!$D$8:$D$42))+1,""),ROW()-1766)),"")</f>
        <v>1.0</v>
      </c>
      <c r="B1774" s="114" t="str" cm="1">
        <f t="array" ref="B1774">IFERROR(INDEX('03.Muestra'!$C$8:$C$42,SMALL(IF("Página Web"='03.Muestra'!$D$8:$D$42,ROW('03.Muestra'!$C$8:$C$42)-MIN(ROW('03.Muestra'!$D$8:$D$42))+1,""),ROW()-1766)),"")</f>
        <v>Home - PortCastelló</v>
      </c>
      <c r="C1774" s="114" t="str" cm="1">
        <f t="array" ref="C1774">IFERROR(INDEX('03.Muestra'!$F$8:$F$42,SMALL(IF("Página Web"='03.Muestra'!$D$8:$D$42,ROW('03.Muestra'!$F$8:$F$42)-MIN(ROW('03.Muestra'!$D$8:$D$42))+1,""),ROW()-1766)),"")</f>
        <v>https://www.portcastello.com/</v>
      </c>
      <c r="D1774" s="130" t="str">
        <f t="shared" si="93"/>
        <v>N/T</v>
      </c>
      <c r="E1774" s="107" t="str">
        <f t="shared" si="92"/>
        <v/>
      </c>
      <c r="F1774" s="19"/>
      <c r="G1774" s="19"/>
      <c r="H1774" s="19"/>
      <c r="I1774" s="19"/>
      <c r="J1774" s="19"/>
      <c r="K1774" s="233"/>
    </row>
    <row r="1775" spans="1:11" ht="12" customHeight="1">
      <c r="A1775" s="219" t="n" cm="1">
        <f t="array" ref="A1775">IFERROR(INDEX('03.Muestra'!$B$8:$B$42,SMALL(IF("Página Web"='03.Muestra'!$D$8:$D$42,ROW('03.Muestra'!$B$8:$B$42)-MIN(ROW('03.Muestra'!$D$8:$D$42))+1,""),ROW()-1766)),"")</f>
        <v>1.0</v>
      </c>
      <c r="B1775" s="114" t="str" cm="1">
        <f t="array" ref="B1775">IFERROR(INDEX('03.Muestra'!$C$8:$C$42,SMALL(IF("Página Web"='03.Muestra'!$D$8:$D$42,ROW('03.Muestra'!$C$8:$C$42)-MIN(ROW('03.Muestra'!$D$8:$D$42))+1,""),ROW()-1766)),"")</f>
        <v>Home - PortCastelló</v>
      </c>
      <c r="C1775" s="114" t="str" cm="1">
        <f t="array" ref="C1775">IFERROR(INDEX('03.Muestra'!$F$8:$F$42,SMALL(IF("Página Web"='03.Muestra'!$D$8:$D$42,ROW('03.Muestra'!$F$8:$F$42)-MIN(ROW('03.Muestra'!$D$8:$D$42))+1,""),ROW()-1766)),"")</f>
        <v>https://www.portcastello.com/</v>
      </c>
      <c r="D1775" s="130" t="str">
        <f t="shared" si="93"/>
        <v>N/T</v>
      </c>
      <c r="E1775" s="107" t="str">
        <f t="shared" si="92"/>
        <v/>
      </c>
      <c r="F1775" s="19"/>
      <c r="G1775" s="19"/>
      <c r="H1775" s="19"/>
      <c r="I1775" s="19"/>
      <c r="J1775" s="19"/>
      <c r="K1775" s="233"/>
    </row>
    <row r="1776" spans="1:11" ht="12" customHeight="1">
      <c r="A1776" s="219" t="n"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Home - PortCastelló</v>
      </c>
      <c r="C1776" s="114" t="str" cm="1">
        <f t="array" ref="C1776">IFERROR(INDEX('03.Muestra'!$F$8:$F$42,SMALL(IF("Página Web"='03.Muestra'!$D$8:$D$42,ROW('03.Muestra'!$F$8:$F$42)-MIN(ROW('03.Muestra'!$D$8:$D$42))+1,""),ROW()-1766)),"")</f>
        <v>https://www.portcastello.com/</v>
      </c>
      <c r="D1776" s="130" t="str">
        <f t="shared" si="93"/>
        <v>N/T</v>
      </c>
      <c r="E1776" s="107" t="str">
        <f t="shared" si="92"/>
        <v/>
      </c>
      <c r="F1776" s="19"/>
      <c r="G1776" s="19"/>
      <c r="H1776" s="19"/>
      <c r="I1776" s="19"/>
      <c r="J1776" s="19"/>
      <c r="K1776" s="233"/>
    </row>
    <row r="1777" spans="1:11" ht="12" customHeight="1">
      <c r="A1777" s="219" t="n" cm="1">
        <f t="array" ref="A1777">IFERROR(INDEX('03.Muestra'!$B$8:$B$42,SMALL(IF("Página Web"='03.Muestra'!$D$8:$D$42,ROW('03.Muestra'!$B$8:$B$42)-MIN(ROW('03.Muestra'!$D$8:$D$42))+1,""),ROW()-1766)),"")</f>
        <v>1.0</v>
      </c>
      <c r="B1777" s="114" t="str" cm="1">
        <f t="array" ref="B1777">IFERROR(INDEX('03.Muestra'!$C$8:$C$42,SMALL(IF("Página Web"='03.Muestra'!$D$8:$D$42,ROW('03.Muestra'!$C$8:$C$42)-MIN(ROW('03.Muestra'!$D$8:$D$42))+1,""),ROW()-1766)),"")</f>
        <v>Home - PortCastelló</v>
      </c>
      <c r="C1777" s="114" t="str" cm="1">
        <f t="array" ref="C1777">IFERROR(INDEX('03.Muestra'!$F$8:$F$42,SMALL(IF("Página Web"='03.Muestra'!$D$8:$D$42,ROW('03.Muestra'!$F$8:$F$42)-MIN(ROW('03.Muestra'!$D$8:$D$42))+1,""),ROW()-1766)),"")</f>
        <v>https://www.portcastello.com/</v>
      </c>
      <c r="D1777" s="130" t="str">
        <f t="shared" si="93"/>
        <v>N/T</v>
      </c>
      <c r="E1777" s="107" t="str">
        <f t="shared" si="92"/>
        <v/>
      </c>
      <c r="F1777" s="19"/>
      <c r="G1777" s="19"/>
      <c r="H1777" s="19"/>
      <c r="I1777" s="19"/>
      <c r="J1777" s="19"/>
      <c r="K1777" s="233"/>
    </row>
    <row r="1778" spans="1:11" ht="12" customHeight="1">
      <c r="A1778" s="219" t="n" cm="1">
        <f t="array" ref="A1778">IFERROR(INDEX('03.Muestra'!$B$8:$B$42,SMALL(IF("Página Web"='03.Muestra'!$D$8:$D$42,ROW('03.Muestra'!$B$8:$B$42)-MIN(ROW('03.Muestra'!$D$8:$D$42))+1,""),ROW()-1766)),"")</f>
        <v>1.0</v>
      </c>
      <c r="B1778" s="114" t="str" cm="1">
        <f t="array" ref="B1778">IFERROR(INDEX('03.Muestra'!$C$8:$C$42,SMALL(IF("Página Web"='03.Muestra'!$D$8:$D$42,ROW('03.Muestra'!$C$8:$C$42)-MIN(ROW('03.Muestra'!$D$8:$D$42))+1,""),ROW()-1766)),"")</f>
        <v>Home - PortCastelló</v>
      </c>
      <c r="C1778" s="114" t="str" cm="1">
        <f t="array" ref="C1778">IFERROR(INDEX('03.Muestra'!$F$8:$F$42,SMALL(IF("Página Web"='03.Muestra'!$D$8:$D$42,ROW('03.Muestra'!$F$8:$F$42)-MIN(ROW('03.Muestra'!$D$8:$D$42))+1,""),ROW()-1766)),"")</f>
        <v>https://www.portcastello.com/</v>
      </c>
      <c r="D1778" s="130" t="str">
        <f t="shared" si="93"/>
        <v>N/T</v>
      </c>
      <c r="E1778" s="107" t="str">
        <f t="shared" si="92"/>
        <v/>
      </c>
      <c r="F1778" s="19"/>
      <c r="G1778" s="19"/>
      <c r="H1778" s="19"/>
      <c r="I1778" s="19"/>
      <c r="J1778" s="19"/>
      <c r="K1778" s="233"/>
    </row>
    <row r="1779" spans="1:11" ht="12" customHeight="1">
      <c r="A1779" s="219" t="n" cm="1">
        <f t="array" ref="A1779">IFERROR(INDEX('03.Muestra'!$B$8:$B$42,SMALL(IF("Página Web"='03.Muestra'!$D$8:$D$42,ROW('03.Muestra'!$B$8:$B$42)-MIN(ROW('03.Muestra'!$D$8:$D$42))+1,""),ROW()-1766)),"")</f>
        <v>1.0</v>
      </c>
      <c r="B1779" s="114" t="str" cm="1">
        <f t="array" ref="B1779">IFERROR(INDEX('03.Muestra'!$C$8:$C$42,SMALL(IF("Página Web"='03.Muestra'!$D$8:$D$42,ROW('03.Muestra'!$C$8:$C$42)-MIN(ROW('03.Muestra'!$D$8:$D$42))+1,""),ROW()-1766)),"")</f>
        <v>Home - PortCastelló</v>
      </c>
      <c r="C1779" s="114" t="str" cm="1">
        <f t="array" ref="C1779">IFERROR(INDEX('03.Muestra'!$F$8:$F$42,SMALL(IF("Página Web"='03.Muestra'!$D$8:$D$42,ROW('03.Muestra'!$F$8:$F$42)-MIN(ROW('03.Muestra'!$D$8:$D$42))+1,""),ROW()-1766)),"")</f>
        <v>https://www.portcastello.com/</v>
      </c>
      <c r="D1779" s="130" t="str">
        <f t="shared" si="93"/>
        <v>N/T</v>
      </c>
      <c r="E1779" s="107" t="str">
        <f t="shared" si="92"/>
        <v/>
      </c>
      <c r="F1779" s="19"/>
      <c r="G1779" s="19"/>
      <c r="H1779" s="19"/>
      <c r="I1779" s="19"/>
      <c r="J1779" s="19"/>
      <c r="K1779" s="233"/>
    </row>
    <row r="1780" spans="1:11" ht="12" customHeight="1">
      <c r="A1780" s="219" t="n" cm="1">
        <f t="array" ref="A1780">IFERROR(INDEX('03.Muestra'!$B$8:$B$42,SMALL(IF("Página Web"='03.Muestra'!$D$8:$D$42,ROW('03.Muestra'!$B$8:$B$42)-MIN(ROW('03.Muestra'!$D$8:$D$42))+1,""),ROW()-1766)),"")</f>
        <v>1.0</v>
      </c>
      <c r="B1780" s="114" t="str" cm="1">
        <f t="array" ref="B1780">IFERROR(INDEX('03.Muestra'!$C$8:$C$42,SMALL(IF("Página Web"='03.Muestra'!$D$8:$D$42,ROW('03.Muestra'!$C$8:$C$42)-MIN(ROW('03.Muestra'!$D$8:$D$42))+1,""),ROW()-1766)),"")</f>
        <v>Home - PortCastelló</v>
      </c>
      <c r="C1780" s="114" t="str" cm="1">
        <f t="array" ref="C1780">IFERROR(INDEX('03.Muestra'!$F$8:$F$42,SMALL(IF("Página Web"='03.Muestra'!$D$8:$D$42,ROW('03.Muestra'!$F$8:$F$42)-MIN(ROW('03.Muestra'!$D$8:$D$42))+1,""),ROW()-1766)),"")</f>
        <v>https://www.portcastello.com/</v>
      </c>
      <c r="D1780" s="130" t="str">
        <f t="shared" si="93"/>
        <v>N/T</v>
      </c>
      <c r="E1780" s="107" t="str">
        <f t="shared" si="92"/>
        <v/>
      </c>
      <c r="F1780" s="19"/>
      <c r="G1780" s="19"/>
      <c r="H1780" s="19"/>
      <c r="I1780" s="19"/>
      <c r="J1780" s="19"/>
      <c r="K1780" s="233"/>
    </row>
    <row r="1781" spans="1:11" ht="12" customHeight="1">
      <c r="A1781" s="219" t="n" cm="1">
        <f t="array" ref="A1781">IFERROR(INDEX('03.Muestra'!$B$8:$B$42,SMALL(IF("Página Web"='03.Muestra'!$D$8:$D$42,ROW('03.Muestra'!$B$8:$B$42)-MIN(ROW('03.Muestra'!$D$8:$D$42))+1,""),ROW()-1766)),"")</f>
        <v>1.0</v>
      </c>
      <c r="B1781" s="114" t="str" cm="1">
        <f t="array" ref="B1781">IFERROR(INDEX('03.Muestra'!$C$8:$C$42,SMALL(IF("Página Web"='03.Muestra'!$D$8:$D$42,ROW('03.Muestra'!$C$8:$C$42)-MIN(ROW('03.Muestra'!$D$8:$D$42))+1,""),ROW()-1766)),"")</f>
        <v>Home - PortCastelló</v>
      </c>
      <c r="C1781" s="114" t="str" cm="1">
        <f t="array" ref="C1781">IFERROR(INDEX('03.Muestra'!$F$8:$F$42,SMALL(IF("Página Web"='03.Muestra'!$D$8:$D$42,ROW('03.Muestra'!$F$8:$F$42)-MIN(ROW('03.Muestra'!$D$8:$D$42))+1,""),ROW()-1766)),"")</f>
        <v>https://www.portcastello.com/</v>
      </c>
      <c r="D1781" s="130" t="str">
        <f t="shared" si="93"/>
        <v>N/T</v>
      </c>
      <c r="E1781" s="107" t="str">
        <f t="shared" si="92"/>
        <v/>
      </c>
      <c r="F1781" s="19"/>
      <c r="G1781" s="19"/>
      <c r="H1781" s="19"/>
      <c r="I1781" s="19"/>
      <c r="J1781" s="19"/>
      <c r="K1781" s="233"/>
    </row>
    <row r="1782" spans="1:11" ht="12" customHeight="1">
      <c r="A1782" s="219" t="n" cm="1">
        <f t="array" ref="A1782">IFERROR(INDEX('03.Muestra'!$B$8:$B$42,SMALL(IF("Página Web"='03.Muestra'!$D$8:$D$42,ROW('03.Muestra'!$B$8:$B$42)-MIN(ROW('03.Muestra'!$D$8:$D$42))+1,""),ROW()-1766)),"")</f>
        <v>1.0</v>
      </c>
      <c r="B1782" s="114" t="str" cm="1">
        <f t="array" ref="B1782">IFERROR(INDEX('03.Muestra'!$C$8:$C$42,SMALL(IF("Página Web"='03.Muestra'!$D$8:$D$42,ROW('03.Muestra'!$C$8:$C$42)-MIN(ROW('03.Muestra'!$D$8:$D$42))+1,""),ROW()-1766)),"")</f>
        <v>Home - PortCastelló</v>
      </c>
      <c r="C1782" s="114" t="str" cm="1">
        <f t="array" ref="C1782">IFERROR(INDEX('03.Muestra'!$F$8:$F$42,SMALL(IF("Página Web"='03.Muestra'!$D$8:$D$42,ROW('03.Muestra'!$F$8:$F$42)-MIN(ROW('03.Muestra'!$D$8:$D$42))+1,""),ROW()-1766)),"")</f>
        <v>https://www.portcastello.com/</v>
      </c>
      <c r="D1782" s="130" t="str">
        <f t="shared" si="93"/>
        <v>N/T</v>
      </c>
      <c r="E1782" s="107" t="str">
        <f t="shared" si="92"/>
        <v/>
      </c>
      <c r="F1782" s="19"/>
      <c r="G1782" s="19"/>
      <c r="H1782" s="19"/>
      <c r="I1782" s="19"/>
      <c r="J1782" s="19"/>
      <c r="K1782" s="233"/>
    </row>
    <row r="1783" spans="1:11" ht="12" customHeight="1">
      <c r="A1783" s="219" t="n" cm="1">
        <f t="array" ref="A1783">IFERROR(INDEX('03.Muestra'!$B$8:$B$42,SMALL(IF("Página Web"='03.Muestra'!$D$8:$D$42,ROW('03.Muestra'!$B$8:$B$42)-MIN(ROW('03.Muestra'!$D$8:$D$42))+1,""),ROW()-1766)),"")</f>
        <v>1.0</v>
      </c>
      <c r="B1783" s="114" t="str" cm="1">
        <f t="array" ref="B1783">IFERROR(INDEX('03.Muestra'!$C$8:$C$42,SMALL(IF("Página Web"='03.Muestra'!$D$8:$D$42,ROW('03.Muestra'!$C$8:$C$42)-MIN(ROW('03.Muestra'!$D$8:$D$42))+1,""),ROW()-1766)),"")</f>
        <v>Home - PortCastelló</v>
      </c>
      <c r="C1783" s="114" t="str" cm="1">
        <f t="array" ref="C1783">IFERROR(INDEX('03.Muestra'!$F$8:$F$42,SMALL(IF("Página Web"='03.Muestra'!$D$8:$D$42,ROW('03.Muestra'!$F$8:$F$42)-MIN(ROW('03.Muestra'!$D$8:$D$42))+1,""),ROW()-1766)),"")</f>
        <v>https://www.portcastello.com/</v>
      </c>
      <c r="D1783" s="130" t="str">
        <f t="shared" si="93"/>
        <v>N/T</v>
      </c>
      <c r="E1783" s="107" t="str">
        <f t="shared" si="92"/>
        <v/>
      </c>
      <c r="F1783" s="19"/>
      <c r="G1783" s="19"/>
      <c r="H1783" s="19"/>
      <c r="I1783" s="19"/>
      <c r="J1783" s="19"/>
      <c r="K1783" s="233"/>
    </row>
    <row r="1784" spans="1:11" ht="12" customHeight="1">
      <c r="A1784" s="219" t="n" cm="1">
        <f t="array" ref="A1784">IFERROR(INDEX('03.Muestra'!$B$8:$B$42,SMALL(IF("Página Web"='03.Muestra'!$D$8:$D$42,ROW('03.Muestra'!$B$8:$B$42)-MIN(ROW('03.Muestra'!$D$8:$D$42))+1,""),ROW()-1766)),"")</f>
        <v>1.0</v>
      </c>
      <c r="B1784" s="114" t="str" cm="1">
        <f t="array" ref="B1784">IFERROR(INDEX('03.Muestra'!$C$8:$C$42,SMALL(IF("Página Web"='03.Muestra'!$D$8:$D$42,ROW('03.Muestra'!$C$8:$C$42)-MIN(ROW('03.Muestra'!$D$8:$D$42))+1,""),ROW()-1766)),"")</f>
        <v>Home - PortCastelló</v>
      </c>
      <c r="C1784" s="114" t="str" cm="1">
        <f t="array" ref="C1784">IFERROR(INDEX('03.Muestra'!$F$8:$F$42,SMALL(IF("Página Web"='03.Muestra'!$D$8:$D$42,ROW('03.Muestra'!$F$8:$F$42)-MIN(ROW('03.Muestra'!$D$8:$D$42))+1,""),ROW()-1766)),"")</f>
        <v>https://www.portcastello.com/</v>
      </c>
      <c r="D1784" s="130" t="str">
        <f t="shared" si="93"/>
        <v>N/T</v>
      </c>
      <c r="E1784" s="107" t="str">
        <f t="shared" si="92"/>
        <v/>
      </c>
      <c r="F1784" s="19"/>
      <c r="G1784" s="19"/>
      <c r="H1784" s="19"/>
      <c r="I1784" s="19"/>
      <c r="J1784" s="19"/>
      <c r="K1784" s="233"/>
    </row>
    <row r="1785" spans="1:11" ht="12" customHeight="1">
      <c r="A1785" s="219" t="n" cm="1">
        <f t="array" ref="A1785">IFERROR(INDEX('03.Muestra'!$B$8:$B$42,SMALL(IF("Página Web"='03.Muestra'!$D$8:$D$42,ROW('03.Muestra'!$B$8:$B$42)-MIN(ROW('03.Muestra'!$D$8:$D$42))+1,""),ROW()-1766)),"")</f>
        <v>1.0</v>
      </c>
      <c r="B1785" s="114" t="str" cm="1">
        <f t="array" ref="B1785">IFERROR(INDEX('03.Muestra'!$C$8:$C$42,SMALL(IF("Página Web"='03.Muestra'!$D$8:$D$42,ROW('03.Muestra'!$C$8:$C$42)-MIN(ROW('03.Muestra'!$D$8:$D$42))+1,""),ROW()-1766)),"")</f>
        <v>Home - PortCastelló</v>
      </c>
      <c r="C1785" s="114" t="str" cm="1">
        <f t="array" ref="C1785">IFERROR(INDEX('03.Muestra'!$F$8:$F$42,SMALL(IF("Página Web"='03.Muestra'!$D$8:$D$42,ROW('03.Muestra'!$F$8:$F$42)-MIN(ROW('03.Muestra'!$D$8:$D$42))+1,""),ROW()-1766)),"")</f>
        <v>https://www.portcastello.com/</v>
      </c>
      <c r="D1785" s="130" t="str">
        <f t="shared" si="93"/>
        <v>N/T</v>
      </c>
      <c r="E1785" s="107" t="str">
        <f t="shared" si="92"/>
        <v/>
      </c>
      <c r="F1785" s="19"/>
      <c r="G1785" s="19"/>
      <c r="H1785" s="19"/>
      <c r="I1785" s="19"/>
      <c r="J1785" s="19"/>
      <c r="K1785" s="233"/>
    </row>
    <row r="1786" spans="1:11" ht="12" customHeight="1">
      <c r="A1786" s="219" t="n" cm="1">
        <f t="array" ref="A1786">IFERROR(INDEX('03.Muestra'!$B$8:$B$42,SMALL(IF("Página Web"='03.Muestra'!$D$8:$D$42,ROW('03.Muestra'!$B$8:$B$42)-MIN(ROW('03.Muestra'!$D$8:$D$42))+1,""),ROW()-1766)),"")</f>
        <v>1.0</v>
      </c>
      <c r="B1786" s="114" t="str" cm="1">
        <f t="array" ref="B1786">IFERROR(INDEX('03.Muestra'!$C$8:$C$42,SMALL(IF("Página Web"='03.Muestra'!$D$8:$D$42,ROW('03.Muestra'!$C$8:$C$42)-MIN(ROW('03.Muestra'!$D$8:$D$42))+1,""),ROW()-1766)),"")</f>
        <v>Home - PortCastelló</v>
      </c>
      <c r="C1786" s="114" t="str" cm="1">
        <f t="array" ref="C1786">IFERROR(INDEX('03.Muestra'!$F$8:$F$42,SMALL(IF("Página Web"='03.Muestra'!$D$8:$D$42,ROW('03.Muestra'!$F$8:$F$42)-MIN(ROW('03.Muestra'!$D$8:$D$42))+1,""),ROW()-1766)),"")</f>
        <v>https://www.portcastello.com/</v>
      </c>
      <c r="D1786" s="130" t="str">
        <f t="shared" si="93"/>
        <v>N/T</v>
      </c>
      <c r="E1786" s="107" t="str">
        <f t="shared" si="92"/>
        <v/>
      </c>
      <c r="F1786" s="19"/>
      <c r="G1786" s="19"/>
      <c r="H1786" s="19"/>
      <c r="I1786" s="19"/>
      <c r="J1786" s="19"/>
      <c r="K1786" s="233"/>
    </row>
    <row r="1787" spans="1:11" ht="12" customHeight="1">
      <c r="A1787" s="219" t="n" cm="1">
        <f t="array" ref="A1787">IFERROR(INDEX('03.Muestra'!$B$8:$B$42,SMALL(IF("Página Web"='03.Muestra'!$D$8:$D$42,ROW('03.Muestra'!$B$8:$B$42)-MIN(ROW('03.Muestra'!$D$8:$D$42))+1,""),ROW()-1766)),"")</f>
        <v>1.0</v>
      </c>
      <c r="B1787" s="114" t="str" cm="1">
        <f t="array" ref="B1787">IFERROR(INDEX('03.Muestra'!$C$8:$C$42,SMALL(IF("Página Web"='03.Muestra'!$D$8:$D$42,ROW('03.Muestra'!$C$8:$C$42)-MIN(ROW('03.Muestra'!$D$8:$D$42))+1,""),ROW()-1766)),"")</f>
        <v>Home - PortCastelló</v>
      </c>
      <c r="C1787" s="114" t="str" cm="1">
        <f t="array" ref="C1787">IFERROR(INDEX('03.Muestra'!$F$8:$F$42,SMALL(IF("Página Web"='03.Muestra'!$D$8:$D$42,ROW('03.Muestra'!$F$8:$F$42)-MIN(ROW('03.Muestra'!$D$8:$D$42))+1,""),ROW()-1766)),"")</f>
        <v>https://www.portcastello.com/</v>
      </c>
      <c r="D1787" s="130" t="str">
        <f t="shared" si="93"/>
        <v>N/T</v>
      </c>
      <c r="E1787" s="107" t="str">
        <f t="shared" si="92"/>
        <v/>
      </c>
      <c r="F1787" s="19"/>
      <c r="G1787" s="19"/>
      <c r="H1787" s="19"/>
      <c r="I1787" s="19"/>
      <c r="J1787" s="19"/>
      <c r="K1787" s="233"/>
    </row>
    <row r="1788" spans="1:11" ht="12" customHeight="1">
      <c r="A1788" s="219" t="n" cm="1">
        <f t="array" ref="A1788">IFERROR(INDEX('03.Muestra'!$B$8:$B$42,SMALL(IF("Página Web"='03.Muestra'!$D$8:$D$42,ROW('03.Muestra'!$B$8:$B$42)-MIN(ROW('03.Muestra'!$D$8:$D$42))+1,""),ROW()-1766)),"")</f>
        <v>1.0</v>
      </c>
      <c r="B1788" s="114" t="str" cm="1">
        <f t="array" ref="B1788">IFERROR(INDEX('03.Muestra'!$C$8:$C$42,SMALL(IF("Página Web"='03.Muestra'!$D$8:$D$42,ROW('03.Muestra'!$C$8:$C$42)-MIN(ROW('03.Muestra'!$D$8:$D$42))+1,""),ROW()-1766)),"")</f>
        <v>Home - PortCastelló</v>
      </c>
      <c r="C1788" s="114" t="str" cm="1">
        <f t="array" ref="C1788">IFERROR(INDEX('03.Muestra'!$F$8:$F$42,SMALL(IF("Página Web"='03.Muestra'!$D$8:$D$42,ROW('03.Muestra'!$F$8:$F$42)-MIN(ROW('03.Muestra'!$D$8:$D$42))+1,""),ROW()-1766)),"")</f>
        <v>https://www.portcastello.com/</v>
      </c>
      <c r="D1788" s="130" t="str">
        <f t="shared" si="93"/>
        <v>N/T</v>
      </c>
      <c r="E1788" s="107" t="str">
        <f t="shared" si="92"/>
        <v/>
      </c>
      <c r="F1788" s="19"/>
      <c r="G1788" s="19"/>
      <c r="H1788" s="19"/>
      <c r="I1788" s="19"/>
      <c r="J1788" s="19"/>
      <c r="K1788" s="233"/>
    </row>
    <row r="1789" spans="1:11" ht="12" customHeight="1">
      <c r="A1789" s="219" t="n" cm="1">
        <f t="array" ref="A1789">IFERROR(INDEX('03.Muestra'!$B$8:$B$42,SMALL(IF("Página Web"='03.Muestra'!$D$8:$D$42,ROW('03.Muestra'!$B$8:$B$42)-MIN(ROW('03.Muestra'!$D$8:$D$42))+1,""),ROW()-1766)),"")</f>
        <v>1.0</v>
      </c>
      <c r="B1789" s="114" t="str" cm="1">
        <f t="array" ref="B1789">IFERROR(INDEX('03.Muestra'!$C$8:$C$42,SMALL(IF("Página Web"='03.Muestra'!$D$8:$D$42,ROW('03.Muestra'!$C$8:$C$42)-MIN(ROW('03.Muestra'!$D$8:$D$42))+1,""),ROW()-1766)),"")</f>
        <v>Home - PortCastelló</v>
      </c>
      <c r="C1789" s="114" t="str" cm="1">
        <f t="array" ref="C1789">IFERROR(INDEX('03.Muestra'!$F$8:$F$42,SMALL(IF("Página Web"='03.Muestra'!$D$8:$D$42,ROW('03.Muestra'!$F$8:$F$42)-MIN(ROW('03.Muestra'!$D$8:$D$42))+1,""),ROW()-1766)),"")</f>
        <v>https://www.portcastello.com/</v>
      </c>
      <c r="D1789" s="130" t="str">
        <f t="shared" si="93"/>
        <v>N/T</v>
      </c>
      <c r="E1789" s="107" t="str">
        <f t="shared" si="92"/>
        <v/>
      </c>
      <c r="F1789" s="19"/>
      <c r="G1789" s="19"/>
      <c r="H1789" s="19"/>
      <c r="I1789" s="19"/>
      <c r="J1789" s="19"/>
      <c r="K1789" s="233"/>
    </row>
    <row r="1790" spans="1:11" ht="12" customHeight="1">
      <c r="A1790" s="219" t="n" cm="1">
        <f t="array" ref="A1790">IFERROR(INDEX('03.Muestra'!$B$8:$B$42,SMALL(IF("Página Web"='03.Muestra'!$D$8:$D$42,ROW('03.Muestra'!$B$8:$B$42)-MIN(ROW('03.Muestra'!$D$8:$D$42))+1,""),ROW()-1766)),"")</f>
        <v>1.0</v>
      </c>
      <c r="B1790" s="114" t="str" cm="1">
        <f t="array" ref="B1790">IFERROR(INDEX('03.Muestra'!$C$8:$C$42,SMALL(IF("Página Web"='03.Muestra'!$D$8:$D$42,ROW('03.Muestra'!$C$8:$C$42)-MIN(ROW('03.Muestra'!$D$8:$D$42))+1,""),ROW()-1766)),"")</f>
        <v>Home - PortCastelló</v>
      </c>
      <c r="C1790" s="114" t="str" cm="1">
        <f t="array" ref="C1790">IFERROR(INDEX('03.Muestra'!$F$8:$F$42,SMALL(IF("Página Web"='03.Muestra'!$D$8:$D$42,ROW('03.Muestra'!$F$8:$F$42)-MIN(ROW('03.Muestra'!$D$8:$D$42))+1,""),ROW()-1766)),"")</f>
        <v>https://www.portcastello.com/</v>
      </c>
      <c r="D1790" s="130" t="str">
        <f t="shared" si="93"/>
        <v>N/T</v>
      </c>
      <c r="E1790" s="107" t="str">
        <f t="shared" si="92"/>
        <v/>
      </c>
      <c r="F1790" s="19"/>
      <c r="G1790" s="19"/>
      <c r="H1790" s="19"/>
      <c r="I1790" s="19"/>
      <c r="J1790" s="19"/>
      <c r="K1790" s="233"/>
    </row>
    <row r="1791" spans="1:11" ht="12" customHeight="1">
      <c r="A1791" s="219" t="n" cm="1">
        <f t="array" ref="A1791">IFERROR(INDEX('03.Muestra'!$B$8:$B$42,SMALL(IF("Página Web"='03.Muestra'!$D$8:$D$42,ROW('03.Muestra'!$B$8:$B$42)-MIN(ROW('03.Muestra'!$D$8:$D$42))+1,""),ROW()-1766)),"")</f>
        <v>1.0</v>
      </c>
      <c r="B1791" s="114" t="str" cm="1">
        <f t="array" ref="B1791">IFERROR(INDEX('03.Muestra'!$C$8:$C$42,SMALL(IF("Página Web"='03.Muestra'!$D$8:$D$42,ROW('03.Muestra'!$C$8:$C$42)-MIN(ROW('03.Muestra'!$D$8:$D$42))+1,""),ROW()-1766)),"")</f>
        <v>Home - PortCastelló</v>
      </c>
      <c r="C1791" s="114" t="str" cm="1">
        <f t="array" ref="C1791">IFERROR(INDEX('03.Muestra'!$F$8:$F$42,SMALL(IF("Página Web"='03.Muestra'!$D$8:$D$42,ROW('03.Muestra'!$F$8:$F$42)-MIN(ROW('03.Muestra'!$D$8:$D$42))+1,""),ROW()-1766)),"")</f>
        <v>https://www.portcastello.com/</v>
      </c>
      <c r="D1791" s="130" t="str">
        <f t="shared" si="93"/>
        <v>N/T</v>
      </c>
      <c r="E1791" s="107" t="str">
        <f t="shared" si="92"/>
        <v/>
      </c>
      <c r="F1791" s="19"/>
      <c r="G1791" s="19"/>
      <c r="H1791" s="19"/>
      <c r="I1791" s="19"/>
      <c r="J1791" s="19"/>
      <c r="K1791" s="233"/>
    </row>
    <row r="1792" spans="1:11" ht="12" customHeight="1">
      <c r="A1792" s="219" t="n" cm="1">
        <f t="array" ref="A1792">IFERROR(INDEX('03.Muestra'!$B$8:$B$42,SMALL(IF("Página Web"='03.Muestra'!$D$8:$D$42,ROW('03.Muestra'!$B$8:$B$42)-MIN(ROW('03.Muestra'!$D$8:$D$42))+1,""),ROW()-1766)),"")</f>
        <v>1.0</v>
      </c>
      <c r="B1792" s="114" t="str" cm="1">
        <f t="array" ref="B1792">IFERROR(INDEX('03.Muestra'!$C$8:$C$42,SMALL(IF("Página Web"='03.Muestra'!$D$8:$D$42,ROW('03.Muestra'!$C$8:$C$42)-MIN(ROW('03.Muestra'!$D$8:$D$42))+1,""),ROW()-1766)),"")</f>
        <v>Home - PortCastelló</v>
      </c>
      <c r="C1792" s="114" t="str" cm="1">
        <f t="array" ref="C1792">IFERROR(INDEX('03.Muestra'!$F$8:$F$42,SMALL(IF("Página Web"='03.Muestra'!$D$8:$D$42,ROW('03.Muestra'!$F$8:$F$42)-MIN(ROW('03.Muestra'!$D$8:$D$42))+1,""),ROW()-1766)),"")</f>
        <v>https://www.portcastello.com/</v>
      </c>
      <c r="D1792" s="130" t="str">
        <f t="shared" si="93"/>
        <v>N/T</v>
      </c>
      <c r="E1792" s="107" t="str">
        <f t="shared" si="92"/>
        <v/>
      </c>
      <c r="F1792" s="19"/>
      <c r="G1792" s="19"/>
      <c r="H1792" s="19"/>
      <c r="I1792" s="19"/>
      <c r="J1792" s="19"/>
      <c r="K1792" s="233"/>
    </row>
    <row r="1793" spans="1:11" ht="12" customHeight="1">
      <c r="A1793" s="219" t="n" cm="1">
        <f t="array" ref="A1793">IFERROR(INDEX('03.Muestra'!$B$8:$B$42,SMALL(IF("Página Web"='03.Muestra'!$D$8:$D$42,ROW('03.Muestra'!$B$8:$B$42)-MIN(ROW('03.Muestra'!$D$8:$D$42))+1,""),ROW()-1766)),"")</f>
        <v>1.0</v>
      </c>
      <c r="B1793" s="114" t="str" cm="1">
        <f t="array" ref="B1793">IFERROR(INDEX('03.Muestra'!$C$8:$C$42,SMALL(IF("Página Web"='03.Muestra'!$D$8:$D$42,ROW('03.Muestra'!$C$8:$C$42)-MIN(ROW('03.Muestra'!$D$8:$D$42))+1,""),ROW()-1766)),"")</f>
        <v>Home - PortCastelló</v>
      </c>
      <c r="C1793" s="114" t="str" cm="1">
        <f t="array" ref="C1793">IFERROR(INDEX('03.Muestra'!$F$8:$F$42,SMALL(IF("Página Web"='03.Muestra'!$D$8:$D$42,ROW('03.Muestra'!$F$8:$F$42)-MIN(ROW('03.Muestra'!$D$8:$D$42))+1,""),ROW()-1766)),"")</f>
        <v>https://www.portcastello.com/</v>
      </c>
      <c r="D1793" s="130" t="str">
        <f t="shared" si="93"/>
        <v>N/T</v>
      </c>
      <c r="E1793" s="107" t="str">
        <f t="shared" si="92"/>
        <v/>
      </c>
      <c r="F1793" s="19"/>
      <c r="G1793" s="19"/>
      <c r="H1793" s="19"/>
      <c r="I1793" s="19"/>
      <c r="J1793" s="19"/>
      <c r="K1793" s="233"/>
    </row>
    <row r="1794" spans="1:11" ht="12" customHeight="1">
      <c r="A1794" s="219" t="n" cm="1">
        <f t="array" ref="A1794">IFERROR(INDEX('03.Muestra'!$B$8:$B$42,SMALL(IF("Página Web"='03.Muestra'!$D$8:$D$42,ROW('03.Muestra'!$B$8:$B$42)-MIN(ROW('03.Muestra'!$D$8:$D$42))+1,""),ROW()-1766)),"")</f>
        <v>1.0</v>
      </c>
      <c r="B1794" s="114" t="str" cm="1">
        <f t="array" ref="B1794">IFERROR(INDEX('03.Muestra'!$C$8:$C$42,SMALL(IF("Página Web"='03.Muestra'!$D$8:$D$42,ROW('03.Muestra'!$C$8:$C$42)-MIN(ROW('03.Muestra'!$D$8:$D$42))+1,""),ROW()-1766)),"")</f>
        <v>Home - PortCastelló</v>
      </c>
      <c r="C1794" s="114" t="str" cm="1">
        <f t="array" ref="C1794">IFERROR(INDEX('03.Muestra'!$F$8:$F$42,SMALL(IF("Página Web"='03.Muestra'!$D$8:$D$42,ROW('03.Muestra'!$F$8:$F$42)-MIN(ROW('03.Muestra'!$D$8:$D$42))+1,""),ROW()-1766)),"")</f>
        <v>https://www.portcastello.com/</v>
      </c>
      <c r="D1794" s="130" t="str">
        <f t="shared" si="93"/>
        <v>N/T</v>
      </c>
      <c r="E1794" s="107" t="str">
        <f t="shared" si="92"/>
        <v/>
      </c>
      <c r="F1794" s="19"/>
      <c r="G1794" s="19"/>
      <c r="H1794" s="19"/>
      <c r="I1794" s="19"/>
      <c r="J1794" s="19"/>
      <c r="K1794" s="233"/>
    </row>
    <row r="1795" spans="1:11" ht="12" customHeight="1">
      <c r="A1795" s="219" t="n" cm="1">
        <f t="array" ref="A1795">IFERROR(INDEX('03.Muestra'!$B$8:$B$42,SMALL(IF("Página Web"='03.Muestra'!$D$8:$D$42,ROW('03.Muestra'!$B$8:$B$42)-MIN(ROW('03.Muestra'!$D$8:$D$42))+1,""),ROW()-1766)),"")</f>
        <v>1.0</v>
      </c>
      <c r="B1795" s="114" t="str" cm="1">
        <f t="array" ref="B1795">IFERROR(INDEX('03.Muestra'!$C$8:$C$42,SMALL(IF("Página Web"='03.Muestra'!$D$8:$D$42,ROW('03.Muestra'!$C$8:$C$42)-MIN(ROW('03.Muestra'!$D$8:$D$42))+1,""),ROW()-1766)),"")</f>
        <v>Home - PortCastelló</v>
      </c>
      <c r="C1795" s="114" t="str" cm="1">
        <f t="array" ref="C1795">IFERROR(INDEX('03.Muestra'!$F$8:$F$42,SMALL(IF("Página Web"='03.Muestra'!$D$8:$D$42,ROW('03.Muestra'!$F$8:$F$42)-MIN(ROW('03.Muestra'!$D$8:$D$42))+1,""),ROW()-1766)),"")</f>
        <v>https://www.portcastello.com/</v>
      </c>
      <c r="D1795" s="130" t="str">
        <f t="shared" si="93"/>
        <v>N/T</v>
      </c>
      <c r="E1795" s="107" t="str">
        <f t="shared" si="92"/>
        <v/>
      </c>
      <c r="F1795" s="19"/>
      <c r="G1795" s="19"/>
      <c r="H1795" s="19"/>
      <c r="I1795" s="19"/>
      <c r="J1795" s="19"/>
      <c r="K1795" s="233"/>
    </row>
    <row r="1796" spans="1:11" ht="12" customHeight="1">
      <c r="A1796" s="219" t="n" cm="1">
        <f t="array" ref="A1796">IFERROR(INDEX('03.Muestra'!$B$8:$B$42,SMALL(IF("Página Web"='03.Muestra'!$D$8:$D$42,ROW('03.Muestra'!$B$8:$B$42)-MIN(ROW('03.Muestra'!$D$8:$D$42))+1,""),ROW()-1766)),"")</f>
        <v>1.0</v>
      </c>
      <c r="B1796" s="114" t="str" cm="1">
        <f t="array" ref="B1796">IFERROR(INDEX('03.Muestra'!$C$8:$C$42,SMALL(IF("Página Web"='03.Muestra'!$D$8:$D$42,ROW('03.Muestra'!$C$8:$C$42)-MIN(ROW('03.Muestra'!$D$8:$D$42))+1,""),ROW()-1766)),"")</f>
        <v>Home - PortCastelló</v>
      </c>
      <c r="C1796" s="114" t="str" cm="1">
        <f t="array" ref="C1796">IFERROR(INDEX('03.Muestra'!$F$8:$F$42,SMALL(IF("Página Web"='03.Muestra'!$D$8:$D$42,ROW('03.Muestra'!$F$8:$F$42)-MIN(ROW('03.Muestra'!$D$8:$D$42))+1,""),ROW()-1766)),"")</f>
        <v>https://www.portcastello.com/</v>
      </c>
      <c r="D1796" s="130" t="str">
        <f t="shared" si="93"/>
        <v>N/T</v>
      </c>
      <c r="E1796" s="107" t="str">
        <f t="shared" si="92"/>
        <v/>
      </c>
      <c r="F1796" s="19"/>
      <c r="G1796" s="19"/>
      <c r="H1796" s="19"/>
      <c r="I1796" s="19"/>
      <c r="J1796" s="19"/>
      <c r="K1796" s="233"/>
    </row>
    <row r="1797" spans="1:11" ht="12" customHeight="1">
      <c r="A1797" s="219" t="n" cm="1">
        <f t="array" ref="A1797">IFERROR(INDEX('03.Muestra'!$B$8:$B$42,SMALL(IF("Página Web"='03.Muestra'!$D$8:$D$42,ROW('03.Muestra'!$B$8:$B$42)-MIN(ROW('03.Muestra'!$D$8:$D$42))+1,""),ROW()-1766)),"")</f>
        <v>1.0</v>
      </c>
      <c r="B1797" s="114" t="str" cm="1">
        <f t="array" ref="B1797">IFERROR(INDEX('03.Muestra'!$C$8:$C$42,SMALL(IF("Página Web"='03.Muestra'!$D$8:$D$42,ROW('03.Muestra'!$C$8:$C$42)-MIN(ROW('03.Muestra'!$D$8:$D$42))+1,""),ROW()-1766)),"")</f>
        <v>Home - PortCastelló</v>
      </c>
      <c r="C1797" s="114" t="str" cm="1">
        <f t="array" ref="C1797">IFERROR(INDEX('03.Muestra'!$F$8:$F$42,SMALL(IF("Página Web"='03.Muestra'!$D$8:$D$42,ROW('03.Muestra'!$F$8:$F$42)-MIN(ROW('03.Muestra'!$D$8:$D$42))+1,""),ROW()-1766)),"")</f>
        <v>https://www.portcastello.com/</v>
      </c>
      <c r="D1797" s="130" t="str">
        <f t="shared" si="93"/>
        <v>N/T</v>
      </c>
      <c r="E1797" s="107" t="str">
        <f t="shared" si="92"/>
        <v/>
      </c>
      <c r="F1797" s="19"/>
      <c r="G1797" s="19"/>
      <c r="H1797" s="19"/>
      <c r="I1797" s="19"/>
      <c r="J1797" s="19"/>
      <c r="K1797" s="233"/>
    </row>
    <row r="1798" spans="1:11" ht="12" customHeight="1">
      <c r="A1798" s="219" t="n" cm="1">
        <f t="array" ref="A1798">IFERROR(INDEX('03.Muestra'!$B$8:$B$42,SMALL(IF("Página Web"='03.Muestra'!$D$8:$D$42,ROW('03.Muestra'!$B$8:$B$42)-MIN(ROW('03.Muestra'!$D$8:$D$42))+1,""),ROW()-1766)),"")</f>
        <v>1.0</v>
      </c>
      <c r="B1798" s="114" t="str" cm="1">
        <f t="array" ref="B1798">IFERROR(INDEX('03.Muestra'!$C$8:$C$42,SMALL(IF("Página Web"='03.Muestra'!$D$8:$D$42,ROW('03.Muestra'!$C$8:$C$42)-MIN(ROW('03.Muestra'!$D$8:$D$42))+1,""),ROW()-1766)),"")</f>
        <v>Home - PortCastelló</v>
      </c>
      <c r="C1798" s="114" t="str" cm="1">
        <f t="array" ref="C1798">IFERROR(INDEX('03.Muestra'!$F$8:$F$42,SMALL(IF("Página Web"='03.Muestra'!$D$8:$D$42,ROW('03.Muestra'!$F$8:$F$42)-MIN(ROW('03.Muestra'!$D$8:$D$42))+1,""),ROW()-1766)),"")</f>
        <v>https://www.portcastello.com/</v>
      </c>
      <c r="D1798" s="130" t="str">
        <f t="shared" si="93"/>
        <v>N/T</v>
      </c>
      <c r="E1798" s="107" t="str">
        <f t="shared" si="92"/>
        <v/>
      </c>
      <c r="F1798" s="19"/>
      <c r="G1798" s="19"/>
      <c r="H1798" s="19"/>
      <c r="I1798" s="19"/>
      <c r="J1798" s="19"/>
      <c r="K1798" s="233"/>
    </row>
    <row r="1799" spans="1:11" ht="12" customHeight="1">
      <c r="A1799" s="219" t="n" cm="1">
        <f t="array" ref="A1799">IFERROR(INDEX('03.Muestra'!$B$8:$B$42,SMALL(IF("Página Web"='03.Muestra'!$D$8:$D$42,ROW('03.Muestra'!$B$8:$B$42)-MIN(ROW('03.Muestra'!$D$8:$D$42))+1,""),ROW()-1766)),"")</f>
        <v>1.0</v>
      </c>
      <c r="B1799" s="114" t="str" cm="1">
        <f t="array" ref="B1799">IFERROR(INDEX('03.Muestra'!$C$8:$C$42,SMALL(IF("Página Web"='03.Muestra'!$D$8:$D$42,ROW('03.Muestra'!$C$8:$C$42)-MIN(ROW('03.Muestra'!$D$8:$D$42))+1,""),ROW()-1766)),"")</f>
        <v>Home - PortCastelló</v>
      </c>
      <c r="C1799" s="114" t="str" cm="1">
        <f t="array" ref="C1799">IFERROR(INDEX('03.Muestra'!$F$8:$F$42,SMALL(IF("Página Web"='03.Muestra'!$D$8:$D$42,ROW('03.Muestra'!$F$8:$F$42)-MIN(ROW('03.Muestra'!$D$8:$D$42))+1,""),ROW()-1766)),"")</f>
        <v>https://www.portcastello.com/</v>
      </c>
      <c r="D1799" s="130" t="str">
        <f t="shared" si="93"/>
        <v>N/T</v>
      </c>
      <c r="E1799" s="107" t="str">
        <f t="shared" si="92"/>
        <v/>
      </c>
      <c r="F1799" s="19"/>
      <c r="G1799" s="19"/>
      <c r="H1799" s="19"/>
      <c r="I1799" s="19"/>
      <c r="J1799" s="19"/>
      <c r="K1799" s="233"/>
    </row>
    <row r="1800" spans="1:11" ht="12" customHeight="1">
      <c r="A1800" s="219" t="str" cm="1">
        <f t="array" ref="A1800">IFERROR(INDEX('03.Muestra'!$B$8:$B$42,SMALL(IF("Página Web"='03.Muestra'!$D$8:$D$42,ROW('03.Muestra'!$B$8:$B$42)-MIN(ROW('03.Muestra'!$D$8:$D$42))+1,""),ROW()-1766)),"")</f>
        <v/>
      </c>
      <c r="B1800" s="114" t="str" cm="1">
        <f t="array" ref="B1800">IFERROR(INDEX('03.Muestra'!$C$8:$C$42,SMALL(IF("Página Web"='03.Muestra'!$D$8:$D$42,ROW('03.Muestra'!$C$8:$C$42)-MIN(ROW('03.Muestra'!$D$8:$D$42))+1,""),ROW()-1766)),"")</f>
        <v/>
      </c>
      <c r="C1800" s="114" t="str" cm="1">
        <f t="array" ref="C1800">IFERROR(INDEX('03.Muestra'!$F$8:$F$42,SMALL(IF("Página Web"='03.Muestra'!$D$8:$D$42,ROW('03.Muestra'!$F$8:$F$42)-MIN(ROW('03.Muestra'!$D$8:$D$42))+1,""),ROW()-1766)),"")</f>
        <v/>
      </c>
      <c r="D1800" s="130" t="str">
        <f t="shared" si="93"/>
        <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268</v>
      </c>
      <c r="B1804" s="24" t="s">
        <v>90</v>
      </c>
      <c r="C1804" s="25" t="s">
        <v>420</v>
      </c>
      <c r="D1804" s="26" t="s">
        <v>32</v>
      </c>
      <c r="E1804" s="123"/>
      <c r="K1804" s="233"/>
    </row>
    <row r="1805" spans="1:11" ht="12" customHeight="1">
      <c r="A1805" s="219" t="n" cm="1">
        <f t="array" ref="A1805">IFERROR(INDEX('03.Muestra'!$B$8:$B$42,SMALL(IF("Página Web"='03.Muestra'!$D$8:$D$42,ROW('03.Muestra'!$B$8:$B$42)-MIN(ROW('03.Muestra'!$D$8:$D$42))+1,""),ROW()-1804)),"")</f>
        <v>1.0</v>
      </c>
      <c r="B1805" s="114" t="str" cm="1">
        <f t="array" ref="B1805">IFERROR(INDEX('03.Muestra'!$C$8:$C$42,SMALL(IF("Página Web"='03.Muestra'!$D$8:$D$42,ROW('03.Muestra'!$C$8:$C$42)-MIN(ROW('03.Muestra'!$D$8:$D$42))+1,""),ROW()-1804)),"")</f>
        <v>Home - PortCastelló</v>
      </c>
      <c r="C1805" s="114" t="str" cm="1">
        <f t="array" ref="C1805">IFERROR(INDEX('03.Muestra'!$F$8:$F$42,SMALL(IF("Página Web"='03.Muestra'!$D$8:$D$42,ROW('03.Muestra'!$F$8:$F$42)-MIN(ROW('03.Muestra'!$D$8:$D$42))+1,""),ROW()-1804)),"")</f>
        <v>https://www.portcastello.com/</v>
      </c>
      <c r="D1805" s="130" t="s">
        <v>37</v>
      </c>
      <c r="E1805" s="107" t="str">
        <f t="shared" ref="E1805:E1839" si="94">IF(D1805&lt;&gt;"",IF(AND(B1805&lt;&gt;"",C1805&lt;&gt;""),"","ERR"),"")</f>
        <v/>
      </c>
      <c r="F1805" s="115" t="s">
        <v>33</v>
      </c>
      <c r="G1805" s="116" t="s">
        <v>37</v>
      </c>
      <c r="H1805" s="117" t="s">
        <v>35</v>
      </c>
      <c r="I1805" s="118" t="s">
        <v>28</v>
      </c>
      <c r="J1805" s="119" t="s">
        <v>26</v>
      </c>
      <c r="K1805" s="226" t="s">
        <v>474</v>
      </c>
    </row>
    <row r="1806" spans="1:11" ht="12" customHeight="1">
      <c r="A1806" s="219" t="n" cm="1">
        <f t="array" ref="A1806">IFERROR(INDEX('03.Muestra'!$B$8:$B$42,SMALL(IF("Página Web"='03.Muestra'!$D$8:$D$42,ROW('03.Muestra'!$B$8:$B$42)-MIN(ROW('03.Muestra'!$D$8:$D$42))+1,""),ROW()-1804)),"")</f>
        <v>1.0</v>
      </c>
      <c r="B1806" s="114" t="str" cm="1">
        <f t="array" ref="B1806">IFERROR(INDEX('03.Muestra'!$C$8:$C$42,SMALL(IF("Página Web"='03.Muestra'!$D$8:$D$42,ROW('03.Muestra'!$C$8:$C$42)-MIN(ROW('03.Muestra'!$D$8:$D$42))+1,""),ROW()-1804)),"")</f>
        <v>Home - PortCastelló</v>
      </c>
      <c r="C1806" s="114" t="str" cm="1">
        <f t="array" ref="C1806">IFERROR(INDEX('03.Muestra'!$F$8:$F$42,SMALL(IF("Página Web"='03.Muestra'!$D$8:$D$42,ROW('03.Muestra'!$F$8:$F$42)-MIN(ROW('03.Muestra'!$D$8:$D$42))+1,""),ROW()-1804)),"")</f>
        <v>https://www.portcastello.com/</v>
      </c>
      <c r="D1806" s="130" t="s">
        <v>37</v>
      </c>
      <c r="E1806" s="107" t="str">
        <f t="shared" si="94"/>
        <v/>
      </c>
      <c r="F1806" s="120" t="n">
        <f ca="1">COUNTIF($D1805:INDIRECT("$D" &amp;  SUM(ROW()-1,'03.Muestra'!$D$45)-1),F1805)</f>
        <v>0.0</v>
      </c>
      <c r="G1806" s="120" t="n">
        <f ca="1">COUNTIF($D1805:INDIRECT("$D" &amp;  SUM(ROW()-1,'03.Muestra'!$D$45)-1),G1805)</f>
        <v>33.0</v>
      </c>
      <c r="H1806" s="120" t="n">
        <f ca="1">COUNTIF($D1805:INDIRECT("$D" &amp;  SUM(ROW()-1,'03.Muestra'!$D$45)-1),H1805)</f>
        <v>0.0</v>
      </c>
      <c r="I1806" s="120" t="n">
        <f ca="1">COUNTIF($D1805:INDIRECT("$D" &amp;  SUM(ROW()-1,'03.Muestra'!$D$45)-1),I1805)</f>
        <v>0.0</v>
      </c>
      <c r="J1806" s="120" t="n">
        <f ca="1">COUNTIF($D1805:INDIRECT("$D" &amp;  SUM(ROW()-1,'03.Muestra'!$D$45)-1),J1805)</f>
        <v>0.0</v>
      </c>
      <c r="K1806" s="227" t="n">
        <f ca="1">IF(COUNTIF('03.Muestra'!$D$8:$D$42,"Página Web")=0,0,COUNTBLANK($D1805:INDIRECT("$D" &amp;  SUM(ROW()-1,COUNTIF('03.Muestra'!$D$8:$D$42,"Página Web"))-1)))</f>
        <v>0.0</v>
      </c>
    </row>
    <row r="1807" spans="1:11" ht="12" customHeight="1">
      <c r="A1807" s="219" t="n" cm="1">
        <f t="array" ref="A1807">IFERROR(INDEX('03.Muestra'!$B$8:$B$42,SMALL(IF("Página Web"='03.Muestra'!$D$8:$D$42,ROW('03.Muestra'!$B$8:$B$42)-MIN(ROW('03.Muestra'!$D$8:$D$42))+1,""),ROW()-1804)),"")</f>
        <v>1.0</v>
      </c>
      <c r="B1807" s="114" t="str" cm="1">
        <f t="array" ref="B1807">IFERROR(INDEX('03.Muestra'!$C$8:$C$42,SMALL(IF("Página Web"='03.Muestra'!$D$8:$D$42,ROW('03.Muestra'!$C$8:$C$42)-MIN(ROW('03.Muestra'!$D$8:$D$42))+1,""),ROW()-1804)),"")</f>
        <v>Home - PortCastelló</v>
      </c>
      <c r="C1807" s="114" t="str" cm="1">
        <f t="array" ref="C1807">IFERROR(INDEX('03.Muestra'!$F$8:$F$42,SMALL(IF("Página Web"='03.Muestra'!$D$8:$D$42,ROW('03.Muestra'!$F$8:$F$42)-MIN(ROW('03.Muestra'!$D$8:$D$42))+1,""),ROW()-1804)),"")</f>
        <v>https://www.portcastello.com/</v>
      </c>
      <c r="D1807" s="130" t="s">
        <v>37</v>
      </c>
      <c r="E1807" s="107" t="str">
        <f t="shared" si="94"/>
        <v/>
      </c>
      <c r="G1807" s="19"/>
      <c r="H1807" s="19"/>
      <c r="I1807" s="19"/>
      <c r="J1807" s="19"/>
      <c r="K1807" s="233"/>
    </row>
    <row r="1808" spans="1:11" ht="12" customHeight="1">
      <c r="A1808" s="219" t="n" cm="1">
        <f t="array" ref="A1808">IFERROR(INDEX('03.Muestra'!$B$8:$B$42,SMALL(IF("Página Web"='03.Muestra'!$D$8:$D$42,ROW('03.Muestra'!$B$8:$B$42)-MIN(ROW('03.Muestra'!$D$8:$D$42))+1,""),ROW()-1804)),"")</f>
        <v>1.0</v>
      </c>
      <c r="B1808" s="114" t="str" cm="1">
        <f t="array" ref="B1808">IFERROR(INDEX('03.Muestra'!$C$8:$C$42,SMALL(IF("Página Web"='03.Muestra'!$D$8:$D$42,ROW('03.Muestra'!$C$8:$C$42)-MIN(ROW('03.Muestra'!$D$8:$D$42))+1,""),ROW()-1804)),"")</f>
        <v>Home - PortCastelló</v>
      </c>
      <c r="C1808" s="114" t="str" cm="1">
        <f t="array" ref="C1808">IFERROR(INDEX('03.Muestra'!$F$8:$F$42,SMALL(IF("Página Web"='03.Muestra'!$D$8:$D$42,ROW('03.Muestra'!$F$8:$F$42)-MIN(ROW('03.Muestra'!$D$8:$D$42))+1,""),ROW()-1804)),"")</f>
        <v>https://www.portcastello.com/</v>
      </c>
      <c r="D1808" s="130" t="s">
        <v>37</v>
      </c>
      <c r="E1808" s="107" t="str">
        <f t="shared" si="94"/>
        <v/>
      </c>
      <c r="G1808" s="19"/>
      <c r="H1808" s="19"/>
      <c r="I1808" s="19"/>
      <c r="J1808" s="19"/>
      <c r="K1808" s="233"/>
    </row>
    <row r="1809" spans="1:11" ht="12" customHeight="1">
      <c r="A1809" s="219" t="n" cm="1">
        <f t="array" ref="A1809">IFERROR(INDEX('03.Muestra'!$B$8:$B$42,SMALL(IF("Página Web"='03.Muestra'!$D$8:$D$42,ROW('03.Muestra'!$B$8:$B$42)-MIN(ROW('03.Muestra'!$D$8:$D$42))+1,""),ROW()-1804)),"")</f>
        <v>1.0</v>
      </c>
      <c r="B1809" s="114" t="str" cm="1">
        <f t="array" ref="B1809">IFERROR(INDEX('03.Muestra'!$C$8:$C$42,SMALL(IF("Página Web"='03.Muestra'!$D$8:$D$42,ROW('03.Muestra'!$C$8:$C$42)-MIN(ROW('03.Muestra'!$D$8:$D$42))+1,""),ROW()-1804)),"")</f>
        <v>Home - PortCastelló</v>
      </c>
      <c r="C1809" s="114" t="str" cm="1">
        <f t="array" ref="C1809">IFERROR(INDEX('03.Muestra'!$F$8:$F$42,SMALL(IF("Página Web"='03.Muestra'!$D$8:$D$42,ROW('03.Muestra'!$F$8:$F$42)-MIN(ROW('03.Muestra'!$D$8:$D$42))+1,""),ROW()-1804)),"")</f>
        <v>https://www.portcastello.com/</v>
      </c>
      <c r="D1809" s="130" t="s">
        <v>37</v>
      </c>
      <c r="E1809" s="107" t="str">
        <f t="shared" si="94"/>
        <v/>
      </c>
      <c r="G1809" s="19"/>
      <c r="H1809" s="19"/>
      <c r="I1809" s="19"/>
      <c r="J1809" s="19"/>
      <c r="K1809" s="233"/>
    </row>
    <row r="1810" spans="1:11" ht="12" customHeight="1">
      <c r="A1810" s="219" t="n" cm="1">
        <f t="array" ref="A1810">IFERROR(INDEX('03.Muestra'!$B$8:$B$42,SMALL(IF("Página Web"='03.Muestra'!$D$8:$D$42,ROW('03.Muestra'!$B$8:$B$42)-MIN(ROW('03.Muestra'!$D$8:$D$42))+1,""),ROW()-1804)),"")</f>
        <v>1.0</v>
      </c>
      <c r="B1810" s="114" t="str" cm="1">
        <f t="array" ref="B1810">IFERROR(INDEX('03.Muestra'!$C$8:$C$42,SMALL(IF("Página Web"='03.Muestra'!$D$8:$D$42,ROW('03.Muestra'!$C$8:$C$42)-MIN(ROW('03.Muestra'!$D$8:$D$42))+1,""),ROW()-1804)),"")</f>
        <v>Home - PortCastelló</v>
      </c>
      <c r="C1810" s="114" t="str" cm="1">
        <f t="array" ref="C1810">IFERROR(INDEX('03.Muestra'!$F$8:$F$42,SMALL(IF("Página Web"='03.Muestra'!$D$8:$D$42,ROW('03.Muestra'!$F$8:$F$42)-MIN(ROW('03.Muestra'!$D$8:$D$42))+1,""),ROW()-1804)),"")</f>
        <v>https://www.portcastello.com/</v>
      </c>
      <c r="D1810" s="130" t="s">
        <v>37</v>
      </c>
      <c r="E1810" s="107" t="str">
        <f t="shared" si="94"/>
        <v/>
      </c>
      <c r="G1810" s="19"/>
      <c r="H1810" s="19"/>
      <c r="I1810" s="19"/>
      <c r="J1810" s="19"/>
      <c r="K1810" s="233"/>
    </row>
    <row r="1811" spans="1:11" ht="12" customHeight="1">
      <c r="A1811" s="219" t="n" cm="1">
        <f t="array" ref="A1811">IFERROR(INDEX('03.Muestra'!$B$8:$B$42,SMALL(IF("Página Web"='03.Muestra'!$D$8:$D$42,ROW('03.Muestra'!$B$8:$B$42)-MIN(ROW('03.Muestra'!$D$8:$D$42))+1,""),ROW()-1804)),"")</f>
        <v>1.0</v>
      </c>
      <c r="B1811" s="114" t="str" cm="1">
        <f t="array" ref="B1811">IFERROR(INDEX('03.Muestra'!$C$8:$C$42,SMALL(IF("Página Web"='03.Muestra'!$D$8:$D$42,ROW('03.Muestra'!$C$8:$C$42)-MIN(ROW('03.Muestra'!$D$8:$D$42))+1,""),ROW()-1804)),"")</f>
        <v>Home - PortCastelló</v>
      </c>
      <c r="C1811" s="114" t="str" cm="1">
        <f t="array" ref="C1811">IFERROR(INDEX('03.Muestra'!$F$8:$F$42,SMALL(IF("Página Web"='03.Muestra'!$D$8:$D$42,ROW('03.Muestra'!$F$8:$F$42)-MIN(ROW('03.Muestra'!$D$8:$D$42))+1,""),ROW()-1804)),"")</f>
        <v>https://www.portcastello.com/</v>
      </c>
      <c r="D1811" s="130" t="s">
        <v>37</v>
      </c>
      <c r="E1811" s="107" t="str">
        <f t="shared" si="94"/>
        <v/>
      </c>
      <c r="F1811" s="19"/>
      <c r="G1811" s="19"/>
      <c r="H1811" s="19"/>
      <c r="I1811" s="19"/>
      <c r="J1811" s="19"/>
      <c r="K1811" s="233"/>
    </row>
    <row r="1812" spans="1:11" ht="12" customHeight="1">
      <c r="A1812" s="219" t="n" cm="1">
        <f t="array" ref="A1812">IFERROR(INDEX('03.Muestra'!$B$8:$B$42,SMALL(IF("Página Web"='03.Muestra'!$D$8:$D$42,ROW('03.Muestra'!$B$8:$B$42)-MIN(ROW('03.Muestra'!$D$8:$D$42))+1,""),ROW()-1804)),"")</f>
        <v>1.0</v>
      </c>
      <c r="B1812" s="114" t="str" cm="1">
        <f t="array" ref="B1812">IFERROR(INDEX('03.Muestra'!$C$8:$C$42,SMALL(IF("Página Web"='03.Muestra'!$D$8:$D$42,ROW('03.Muestra'!$C$8:$C$42)-MIN(ROW('03.Muestra'!$D$8:$D$42))+1,""),ROW()-1804)),"")</f>
        <v>Home - PortCastelló</v>
      </c>
      <c r="C1812" s="114" t="str" cm="1">
        <f t="array" ref="C1812">IFERROR(INDEX('03.Muestra'!$F$8:$F$42,SMALL(IF("Página Web"='03.Muestra'!$D$8:$D$42,ROW('03.Muestra'!$F$8:$F$42)-MIN(ROW('03.Muestra'!$D$8:$D$42))+1,""),ROW()-1804)),"")</f>
        <v>https://www.portcastello.com/</v>
      </c>
      <c r="D1812" s="130" t="s">
        <v>37</v>
      </c>
      <c r="E1812" s="107" t="str">
        <f t="shared" si="94"/>
        <v/>
      </c>
      <c r="F1812" s="19"/>
      <c r="G1812" s="19"/>
      <c r="H1812" s="19"/>
      <c r="I1812" s="19"/>
      <c r="J1812" s="19"/>
      <c r="K1812" s="233"/>
    </row>
    <row r="1813" spans="1:11" ht="12" customHeight="1">
      <c r="A1813" s="219" t="n" cm="1">
        <f t="array" ref="A1813">IFERROR(INDEX('03.Muestra'!$B$8:$B$42,SMALL(IF("Página Web"='03.Muestra'!$D$8:$D$42,ROW('03.Muestra'!$B$8:$B$42)-MIN(ROW('03.Muestra'!$D$8:$D$42))+1,""),ROW()-1804)),"")</f>
        <v>1.0</v>
      </c>
      <c r="B1813" s="114" t="str" cm="1">
        <f t="array" ref="B1813">IFERROR(INDEX('03.Muestra'!$C$8:$C$42,SMALL(IF("Página Web"='03.Muestra'!$D$8:$D$42,ROW('03.Muestra'!$C$8:$C$42)-MIN(ROW('03.Muestra'!$D$8:$D$42))+1,""),ROW()-1804)),"")</f>
        <v>Home - PortCastelló</v>
      </c>
      <c r="C1813" s="114" t="str" cm="1">
        <f t="array" ref="C1813">IFERROR(INDEX('03.Muestra'!$F$8:$F$42,SMALL(IF("Página Web"='03.Muestra'!$D$8:$D$42,ROW('03.Muestra'!$F$8:$F$42)-MIN(ROW('03.Muestra'!$D$8:$D$42))+1,""),ROW()-1804)),"")</f>
        <v>https://www.portcastello.com/</v>
      </c>
      <c r="D1813" s="130" t="s">
        <v>37</v>
      </c>
      <c r="E1813" s="107" t="str">
        <f t="shared" si="94"/>
        <v/>
      </c>
      <c r="F1813" s="19"/>
      <c r="G1813" s="19"/>
      <c r="H1813" s="19"/>
      <c r="I1813" s="19"/>
      <c r="J1813" s="19"/>
      <c r="K1813" s="233"/>
    </row>
    <row r="1814" spans="1:11" ht="12" customHeight="1">
      <c r="A1814" s="219" t="n"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Home - PortCastelló</v>
      </c>
      <c r="C1814" s="114" t="str" cm="1">
        <f t="array" ref="C1814">IFERROR(INDEX('03.Muestra'!$F$8:$F$42,SMALL(IF("Página Web"='03.Muestra'!$D$8:$D$42,ROW('03.Muestra'!$F$8:$F$42)-MIN(ROW('03.Muestra'!$D$8:$D$42))+1,""),ROW()-1804)),"")</f>
        <v>https://www.portcastello.com/</v>
      </c>
      <c r="D1814" s="130" t="s">
        <v>37</v>
      </c>
      <c r="E1814" s="107" t="str">
        <f t="shared" si="94"/>
        <v/>
      </c>
      <c r="F1814" s="19"/>
      <c r="G1814" s="19"/>
      <c r="H1814" s="19"/>
      <c r="I1814" s="19"/>
      <c r="J1814" s="19"/>
      <c r="K1814" s="233"/>
    </row>
    <row r="1815" spans="1:11" ht="12" customHeight="1">
      <c r="A1815" s="219" t="n" cm="1">
        <f t="array" ref="A1815">IFERROR(INDEX('03.Muestra'!$B$8:$B$42,SMALL(IF("Página Web"='03.Muestra'!$D$8:$D$42,ROW('03.Muestra'!$B$8:$B$42)-MIN(ROW('03.Muestra'!$D$8:$D$42))+1,""),ROW()-1804)),"")</f>
        <v>1.0</v>
      </c>
      <c r="B1815" s="114" t="str" cm="1">
        <f t="array" ref="B1815">IFERROR(INDEX('03.Muestra'!$C$8:$C$42,SMALL(IF("Página Web"='03.Muestra'!$D$8:$D$42,ROW('03.Muestra'!$C$8:$C$42)-MIN(ROW('03.Muestra'!$D$8:$D$42))+1,""),ROW()-1804)),"")</f>
        <v>Home - PortCastelló</v>
      </c>
      <c r="C1815" s="114" t="str" cm="1">
        <f t="array" ref="C1815">IFERROR(INDEX('03.Muestra'!$F$8:$F$42,SMALL(IF("Página Web"='03.Muestra'!$D$8:$D$42,ROW('03.Muestra'!$F$8:$F$42)-MIN(ROW('03.Muestra'!$D$8:$D$42))+1,""),ROW()-1804)),"")</f>
        <v>https://www.portcastello.com/</v>
      </c>
      <c r="D1815" s="130" t="s">
        <v>37</v>
      </c>
      <c r="E1815" s="107" t="str">
        <f t="shared" si="94"/>
        <v/>
      </c>
      <c r="F1815" s="19"/>
      <c r="G1815" s="19"/>
      <c r="H1815" s="19"/>
      <c r="I1815" s="19"/>
      <c r="J1815" s="19"/>
      <c r="K1815" s="233"/>
    </row>
    <row r="1816" spans="1:11" ht="12" customHeight="1">
      <c r="A1816" s="219" t="n" cm="1">
        <f t="array" ref="A1816">IFERROR(INDEX('03.Muestra'!$B$8:$B$42,SMALL(IF("Página Web"='03.Muestra'!$D$8:$D$42,ROW('03.Muestra'!$B$8:$B$42)-MIN(ROW('03.Muestra'!$D$8:$D$42))+1,""),ROW()-1804)),"")</f>
        <v>1.0</v>
      </c>
      <c r="B1816" s="114" t="str" cm="1">
        <f t="array" ref="B1816">IFERROR(INDEX('03.Muestra'!$C$8:$C$42,SMALL(IF("Página Web"='03.Muestra'!$D$8:$D$42,ROW('03.Muestra'!$C$8:$C$42)-MIN(ROW('03.Muestra'!$D$8:$D$42))+1,""),ROW()-1804)),"")</f>
        <v>Home - PortCastelló</v>
      </c>
      <c r="C1816" s="114" t="str" cm="1">
        <f t="array" ref="C1816">IFERROR(INDEX('03.Muestra'!$F$8:$F$42,SMALL(IF("Página Web"='03.Muestra'!$D$8:$D$42,ROW('03.Muestra'!$F$8:$F$42)-MIN(ROW('03.Muestra'!$D$8:$D$42))+1,""),ROW()-1804)),"")</f>
        <v>https://www.portcastello.com/</v>
      </c>
      <c r="D1816" s="130" t="s">
        <v>37</v>
      </c>
      <c r="E1816" s="107" t="str">
        <f t="shared" si="94"/>
        <v/>
      </c>
      <c r="F1816" s="19"/>
      <c r="G1816" s="19"/>
      <c r="H1816" s="19"/>
      <c r="I1816" s="19"/>
      <c r="J1816" s="19"/>
      <c r="K1816" s="233"/>
    </row>
    <row r="1817" spans="1:11" ht="12" customHeight="1">
      <c r="A1817" s="219" t="n" cm="1">
        <f t="array" ref="A1817">IFERROR(INDEX('03.Muestra'!$B$8:$B$42,SMALL(IF("Página Web"='03.Muestra'!$D$8:$D$42,ROW('03.Muestra'!$B$8:$B$42)-MIN(ROW('03.Muestra'!$D$8:$D$42))+1,""),ROW()-1804)),"")</f>
        <v>1.0</v>
      </c>
      <c r="B1817" s="114" t="str" cm="1">
        <f t="array" ref="B1817">IFERROR(INDEX('03.Muestra'!$C$8:$C$42,SMALL(IF("Página Web"='03.Muestra'!$D$8:$D$42,ROW('03.Muestra'!$C$8:$C$42)-MIN(ROW('03.Muestra'!$D$8:$D$42))+1,""),ROW()-1804)),"")</f>
        <v>Home - PortCastelló</v>
      </c>
      <c r="C1817" s="114" t="str" cm="1">
        <f t="array" ref="C1817">IFERROR(INDEX('03.Muestra'!$F$8:$F$42,SMALL(IF("Página Web"='03.Muestra'!$D$8:$D$42,ROW('03.Muestra'!$F$8:$F$42)-MIN(ROW('03.Muestra'!$D$8:$D$42))+1,""),ROW()-1804)),"")</f>
        <v>https://www.portcastello.com/</v>
      </c>
      <c r="D1817" s="130" t="s">
        <v>37</v>
      </c>
      <c r="E1817" s="107" t="str">
        <f t="shared" si="94"/>
        <v/>
      </c>
      <c r="F1817" s="19"/>
      <c r="G1817" s="19"/>
      <c r="H1817" s="19"/>
      <c r="I1817" s="19"/>
      <c r="J1817" s="19"/>
      <c r="K1817" s="233"/>
    </row>
    <row r="1818" spans="1:11" ht="12" customHeight="1">
      <c r="A1818" s="219" t="n" cm="1">
        <f t="array" ref="A1818">IFERROR(INDEX('03.Muestra'!$B$8:$B$42,SMALL(IF("Página Web"='03.Muestra'!$D$8:$D$42,ROW('03.Muestra'!$B$8:$B$42)-MIN(ROW('03.Muestra'!$D$8:$D$42))+1,""),ROW()-1804)),"")</f>
        <v>1.0</v>
      </c>
      <c r="B1818" s="114" t="str" cm="1">
        <f t="array" ref="B1818">IFERROR(INDEX('03.Muestra'!$C$8:$C$42,SMALL(IF("Página Web"='03.Muestra'!$D$8:$D$42,ROW('03.Muestra'!$C$8:$C$42)-MIN(ROW('03.Muestra'!$D$8:$D$42))+1,""),ROW()-1804)),"")</f>
        <v>Home - PortCastelló</v>
      </c>
      <c r="C1818" s="114" t="str" cm="1">
        <f t="array" ref="C1818">IFERROR(INDEX('03.Muestra'!$F$8:$F$42,SMALL(IF("Página Web"='03.Muestra'!$D$8:$D$42,ROW('03.Muestra'!$F$8:$F$42)-MIN(ROW('03.Muestra'!$D$8:$D$42))+1,""),ROW()-1804)),"")</f>
        <v>https://www.portcastello.com/</v>
      </c>
      <c r="D1818" s="130" t="s">
        <v>37</v>
      </c>
      <c r="E1818" s="107" t="str">
        <f t="shared" si="94"/>
        <v/>
      </c>
      <c r="F1818" s="19"/>
      <c r="G1818" s="19"/>
      <c r="H1818" s="19"/>
      <c r="I1818" s="19"/>
      <c r="J1818" s="19"/>
      <c r="K1818" s="233"/>
    </row>
    <row r="1819" spans="1:11" ht="12" customHeight="1">
      <c r="A1819" s="219" t="n" cm="1">
        <f t="array" ref="A1819">IFERROR(INDEX('03.Muestra'!$B$8:$B$42,SMALL(IF("Página Web"='03.Muestra'!$D$8:$D$42,ROW('03.Muestra'!$B$8:$B$42)-MIN(ROW('03.Muestra'!$D$8:$D$42))+1,""),ROW()-1804)),"")</f>
        <v>1.0</v>
      </c>
      <c r="B1819" s="114" t="str" cm="1">
        <f t="array" ref="B1819">IFERROR(INDEX('03.Muestra'!$C$8:$C$42,SMALL(IF("Página Web"='03.Muestra'!$D$8:$D$42,ROW('03.Muestra'!$C$8:$C$42)-MIN(ROW('03.Muestra'!$D$8:$D$42))+1,""),ROW()-1804)),"")</f>
        <v>Home - PortCastelló</v>
      </c>
      <c r="C1819" s="114" t="str" cm="1">
        <f t="array" ref="C1819">IFERROR(INDEX('03.Muestra'!$F$8:$F$42,SMALL(IF("Página Web"='03.Muestra'!$D$8:$D$42,ROW('03.Muestra'!$F$8:$F$42)-MIN(ROW('03.Muestra'!$D$8:$D$42))+1,""),ROW()-1804)),"")</f>
        <v>https://www.portcastello.com/</v>
      </c>
      <c r="D1819" s="130" t="s">
        <v>37</v>
      </c>
      <c r="E1819" s="107" t="str">
        <f t="shared" si="94"/>
        <v/>
      </c>
      <c r="F1819" s="19"/>
      <c r="G1819" s="19"/>
      <c r="H1819" s="19"/>
      <c r="I1819" s="19"/>
      <c r="J1819" s="19"/>
      <c r="K1819" s="233"/>
    </row>
    <row r="1820" spans="1:11" ht="12" customHeight="1">
      <c r="A1820" s="219" t="n" cm="1">
        <f t="array" ref="A1820">IFERROR(INDEX('03.Muestra'!$B$8:$B$42,SMALL(IF("Página Web"='03.Muestra'!$D$8:$D$42,ROW('03.Muestra'!$B$8:$B$42)-MIN(ROW('03.Muestra'!$D$8:$D$42))+1,""),ROW()-1804)),"")</f>
        <v>1.0</v>
      </c>
      <c r="B1820" s="114" t="str" cm="1">
        <f t="array" ref="B1820">IFERROR(INDEX('03.Muestra'!$C$8:$C$42,SMALL(IF("Página Web"='03.Muestra'!$D$8:$D$42,ROW('03.Muestra'!$C$8:$C$42)-MIN(ROW('03.Muestra'!$D$8:$D$42))+1,""),ROW()-1804)),"")</f>
        <v>Home - PortCastelló</v>
      </c>
      <c r="C1820" s="114" t="str" cm="1">
        <f t="array" ref="C1820">IFERROR(INDEX('03.Muestra'!$F$8:$F$42,SMALL(IF("Página Web"='03.Muestra'!$D$8:$D$42,ROW('03.Muestra'!$F$8:$F$42)-MIN(ROW('03.Muestra'!$D$8:$D$42))+1,""),ROW()-1804)),"")</f>
        <v>https://www.portcastello.com/</v>
      </c>
      <c r="D1820" s="130" t="s">
        <v>37</v>
      </c>
      <c r="E1820" s="107" t="str">
        <f t="shared" si="94"/>
        <v/>
      </c>
      <c r="F1820" s="19"/>
      <c r="G1820" s="19"/>
      <c r="H1820" s="19"/>
      <c r="I1820" s="19"/>
      <c r="J1820" s="19"/>
      <c r="K1820" s="233"/>
    </row>
    <row r="1821" spans="1:11" ht="12" customHeight="1">
      <c r="A1821" s="219" t="n" cm="1">
        <f t="array" ref="A1821">IFERROR(INDEX('03.Muestra'!$B$8:$B$42,SMALL(IF("Página Web"='03.Muestra'!$D$8:$D$42,ROW('03.Muestra'!$B$8:$B$42)-MIN(ROW('03.Muestra'!$D$8:$D$42))+1,""),ROW()-1804)),"")</f>
        <v>1.0</v>
      </c>
      <c r="B1821" s="114" t="str" cm="1">
        <f t="array" ref="B1821">IFERROR(INDEX('03.Muestra'!$C$8:$C$42,SMALL(IF("Página Web"='03.Muestra'!$D$8:$D$42,ROW('03.Muestra'!$C$8:$C$42)-MIN(ROW('03.Muestra'!$D$8:$D$42))+1,""),ROW()-1804)),"")</f>
        <v>Home - PortCastelló</v>
      </c>
      <c r="C1821" s="114" t="str" cm="1">
        <f t="array" ref="C1821">IFERROR(INDEX('03.Muestra'!$F$8:$F$42,SMALL(IF("Página Web"='03.Muestra'!$D$8:$D$42,ROW('03.Muestra'!$F$8:$F$42)-MIN(ROW('03.Muestra'!$D$8:$D$42))+1,""),ROW()-1804)),"")</f>
        <v>https://www.portcastello.com/</v>
      </c>
      <c r="D1821" s="130" t="s">
        <v>37</v>
      </c>
      <c r="E1821" s="107" t="str">
        <f t="shared" si="94"/>
        <v/>
      </c>
      <c r="F1821" s="19"/>
      <c r="G1821" s="19"/>
      <c r="H1821" s="19"/>
      <c r="I1821" s="19"/>
      <c r="J1821" s="19"/>
      <c r="K1821" s="233"/>
    </row>
    <row r="1822" spans="1:11" ht="12" customHeight="1">
      <c r="A1822" s="219" t="n" cm="1">
        <f t="array" ref="A1822">IFERROR(INDEX('03.Muestra'!$B$8:$B$42,SMALL(IF("Página Web"='03.Muestra'!$D$8:$D$42,ROW('03.Muestra'!$B$8:$B$42)-MIN(ROW('03.Muestra'!$D$8:$D$42))+1,""),ROW()-1804)),"")</f>
        <v>1.0</v>
      </c>
      <c r="B1822" s="114" t="str" cm="1">
        <f t="array" ref="B1822">IFERROR(INDEX('03.Muestra'!$C$8:$C$42,SMALL(IF("Página Web"='03.Muestra'!$D$8:$D$42,ROW('03.Muestra'!$C$8:$C$42)-MIN(ROW('03.Muestra'!$D$8:$D$42))+1,""),ROW()-1804)),"")</f>
        <v>Home - PortCastelló</v>
      </c>
      <c r="C1822" s="114" t="str" cm="1">
        <f t="array" ref="C1822">IFERROR(INDEX('03.Muestra'!$F$8:$F$42,SMALL(IF("Página Web"='03.Muestra'!$D$8:$D$42,ROW('03.Muestra'!$F$8:$F$42)-MIN(ROW('03.Muestra'!$D$8:$D$42))+1,""),ROW()-1804)),"")</f>
        <v>https://www.portcastello.com/</v>
      </c>
      <c r="D1822" s="130" t="s">
        <v>37</v>
      </c>
      <c r="E1822" s="107" t="str">
        <f t="shared" si="94"/>
        <v/>
      </c>
      <c r="F1822" s="19"/>
      <c r="G1822" s="19"/>
      <c r="H1822" s="19"/>
      <c r="I1822" s="19"/>
      <c r="J1822" s="19"/>
      <c r="K1822" s="233"/>
    </row>
    <row r="1823" spans="1:11" ht="12" customHeight="1">
      <c r="A1823" s="219" t="n" cm="1">
        <f t="array" ref="A1823">IFERROR(INDEX('03.Muestra'!$B$8:$B$42,SMALL(IF("Página Web"='03.Muestra'!$D$8:$D$42,ROW('03.Muestra'!$B$8:$B$42)-MIN(ROW('03.Muestra'!$D$8:$D$42))+1,""),ROW()-1804)),"")</f>
        <v>1.0</v>
      </c>
      <c r="B1823" s="114" t="str" cm="1">
        <f t="array" ref="B1823">IFERROR(INDEX('03.Muestra'!$C$8:$C$42,SMALL(IF("Página Web"='03.Muestra'!$D$8:$D$42,ROW('03.Muestra'!$C$8:$C$42)-MIN(ROW('03.Muestra'!$D$8:$D$42))+1,""),ROW()-1804)),"")</f>
        <v>Home - PortCastelló</v>
      </c>
      <c r="C1823" s="114" t="str" cm="1">
        <f t="array" ref="C1823">IFERROR(INDEX('03.Muestra'!$F$8:$F$42,SMALL(IF("Página Web"='03.Muestra'!$D$8:$D$42,ROW('03.Muestra'!$F$8:$F$42)-MIN(ROW('03.Muestra'!$D$8:$D$42))+1,""),ROW()-1804)),"")</f>
        <v>https://www.portcastello.com/</v>
      </c>
      <c r="D1823" s="130" t="s">
        <v>37</v>
      </c>
      <c r="E1823" s="107" t="str">
        <f t="shared" si="94"/>
        <v/>
      </c>
      <c r="F1823" s="19"/>
      <c r="G1823" s="19"/>
      <c r="H1823" s="19"/>
      <c r="I1823" s="19"/>
      <c r="J1823" s="19"/>
      <c r="K1823" s="233"/>
    </row>
    <row r="1824" spans="1:11" ht="12" customHeight="1">
      <c r="A1824" s="219" t="n" cm="1">
        <f t="array" ref="A1824">IFERROR(INDEX('03.Muestra'!$B$8:$B$42,SMALL(IF("Página Web"='03.Muestra'!$D$8:$D$42,ROW('03.Muestra'!$B$8:$B$42)-MIN(ROW('03.Muestra'!$D$8:$D$42))+1,""),ROW()-1804)),"")</f>
        <v>1.0</v>
      </c>
      <c r="B1824" s="114" t="str" cm="1">
        <f t="array" ref="B1824">IFERROR(INDEX('03.Muestra'!$C$8:$C$42,SMALL(IF("Página Web"='03.Muestra'!$D$8:$D$42,ROW('03.Muestra'!$C$8:$C$42)-MIN(ROW('03.Muestra'!$D$8:$D$42))+1,""),ROW()-1804)),"")</f>
        <v>Home - PortCastelló</v>
      </c>
      <c r="C1824" s="114" t="str" cm="1">
        <f t="array" ref="C1824">IFERROR(INDEX('03.Muestra'!$F$8:$F$42,SMALL(IF("Página Web"='03.Muestra'!$D$8:$D$42,ROW('03.Muestra'!$F$8:$F$42)-MIN(ROW('03.Muestra'!$D$8:$D$42))+1,""),ROW()-1804)),"")</f>
        <v>https://www.portcastello.com/</v>
      </c>
      <c r="D1824" s="130" t="s">
        <v>37</v>
      </c>
      <c r="E1824" s="107" t="str">
        <f t="shared" si="94"/>
        <v/>
      </c>
      <c r="F1824" s="19"/>
      <c r="G1824" s="19"/>
      <c r="H1824" s="19"/>
      <c r="I1824" s="19"/>
      <c r="J1824" s="19"/>
      <c r="K1824" s="233"/>
    </row>
    <row r="1825" spans="1:11" ht="12" customHeight="1">
      <c r="A1825" s="219" t="n" cm="1">
        <f t="array" ref="A1825">IFERROR(INDEX('03.Muestra'!$B$8:$B$42,SMALL(IF("Página Web"='03.Muestra'!$D$8:$D$42,ROW('03.Muestra'!$B$8:$B$42)-MIN(ROW('03.Muestra'!$D$8:$D$42))+1,""),ROW()-1804)),"")</f>
        <v>1.0</v>
      </c>
      <c r="B1825" s="114" t="str" cm="1">
        <f t="array" ref="B1825">IFERROR(INDEX('03.Muestra'!$C$8:$C$42,SMALL(IF("Página Web"='03.Muestra'!$D$8:$D$42,ROW('03.Muestra'!$C$8:$C$42)-MIN(ROW('03.Muestra'!$D$8:$D$42))+1,""),ROW()-1804)),"")</f>
        <v>Home - PortCastelló</v>
      </c>
      <c r="C1825" s="114" t="str" cm="1">
        <f t="array" ref="C1825">IFERROR(INDEX('03.Muestra'!$F$8:$F$42,SMALL(IF("Página Web"='03.Muestra'!$D$8:$D$42,ROW('03.Muestra'!$F$8:$F$42)-MIN(ROW('03.Muestra'!$D$8:$D$42))+1,""),ROW()-1804)),"")</f>
        <v>https://www.portcastello.com/</v>
      </c>
      <c r="D1825" s="130" t="s">
        <v>37</v>
      </c>
      <c r="E1825" s="107" t="str">
        <f t="shared" si="94"/>
        <v/>
      </c>
      <c r="F1825" s="19"/>
      <c r="G1825" s="19"/>
      <c r="H1825" s="19"/>
      <c r="I1825" s="19"/>
      <c r="J1825" s="19"/>
      <c r="K1825" s="233"/>
    </row>
    <row r="1826" spans="1:11" ht="12" customHeight="1">
      <c r="A1826" s="219" t="n" cm="1">
        <f t="array" ref="A1826">IFERROR(INDEX('03.Muestra'!$B$8:$B$42,SMALL(IF("Página Web"='03.Muestra'!$D$8:$D$42,ROW('03.Muestra'!$B$8:$B$42)-MIN(ROW('03.Muestra'!$D$8:$D$42))+1,""),ROW()-1804)),"")</f>
        <v>1.0</v>
      </c>
      <c r="B1826" s="114" t="str" cm="1">
        <f t="array" ref="B1826">IFERROR(INDEX('03.Muestra'!$C$8:$C$42,SMALL(IF("Página Web"='03.Muestra'!$D$8:$D$42,ROW('03.Muestra'!$C$8:$C$42)-MIN(ROW('03.Muestra'!$D$8:$D$42))+1,""),ROW()-1804)),"")</f>
        <v>Home - PortCastelló</v>
      </c>
      <c r="C1826" s="114" t="str" cm="1">
        <f t="array" ref="C1826">IFERROR(INDEX('03.Muestra'!$F$8:$F$42,SMALL(IF("Página Web"='03.Muestra'!$D$8:$D$42,ROW('03.Muestra'!$F$8:$F$42)-MIN(ROW('03.Muestra'!$D$8:$D$42))+1,""),ROW()-1804)),"")</f>
        <v>https://www.portcastello.com/</v>
      </c>
      <c r="D1826" s="130" t="s">
        <v>37</v>
      </c>
      <c r="E1826" s="107" t="str">
        <f t="shared" si="94"/>
        <v/>
      </c>
      <c r="F1826" s="19"/>
      <c r="G1826" s="19"/>
      <c r="H1826" s="19"/>
      <c r="I1826" s="19"/>
      <c r="J1826" s="19"/>
      <c r="K1826" s="233"/>
    </row>
    <row r="1827" spans="1:11" ht="12" customHeight="1">
      <c r="A1827" s="219" t="n" cm="1">
        <f t="array" ref="A1827">IFERROR(INDEX('03.Muestra'!$B$8:$B$42,SMALL(IF("Página Web"='03.Muestra'!$D$8:$D$42,ROW('03.Muestra'!$B$8:$B$42)-MIN(ROW('03.Muestra'!$D$8:$D$42))+1,""),ROW()-1804)),"")</f>
        <v>1.0</v>
      </c>
      <c r="B1827" s="114" t="str" cm="1">
        <f t="array" ref="B1827">IFERROR(INDEX('03.Muestra'!$C$8:$C$42,SMALL(IF("Página Web"='03.Muestra'!$D$8:$D$42,ROW('03.Muestra'!$C$8:$C$42)-MIN(ROW('03.Muestra'!$D$8:$D$42))+1,""),ROW()-1804)),"")</f>
        <v>Home - PortCastelló</v>
      </c>
      <c r="C1827" s="114" t="str" cm="1">
        <f t="array" ref="C1827">IFERROR(INDEX('03.Muestra'!$F$8:$F$42,SMALL(IF("Página Web"='03.Muestra'!$D$8:$D$42,ROW('03.Muestra'!$F$8:$F$42)-MIN(ROW('03.Muestra'!$D$8:$D$42))+1,""),ROW()-1804)),"")</f>
        <v>https://www.portcastello.com/</v>
      </c>
      <c r="D1827" s="130" t="s">
        <v>37</v>
      </c>
      <c r="E1827" s="107" t="str">
        <f t="shared" si="94"/>
        <v/>
      </c>
      <c r="F1827" s="19"/>
      <c r="G1827" s="19"/>
      <c r="H1827" s="19"/>
      <c r="I1827" s="19"/>
      <c r="J1827" s="19"/>
      <c r="K1827" s="233"/>
    </row>
    <row r="1828" spans="1:11" ht="12" customHeight="1">
      <c r="A1828" s="219" t="n" cm="1">
        <f t="array" ref="A1828">IFERROR(INDEX('03.Muestra'!$B$8:$B$42,SMALL(IF("Página Web"='03.Muestra'!$D$8:$D$42,ROW('03.Muestra'!$B$8:$B$42)-MIN(ROW('03.Muestra'!$D$8:$D$42))+1,""),ROW()-1804)),"")</f>
        <v>1.0</v>
      </c>
      <c r="B1828" s="114" t="str" cm="1">
        <f t="array" ref="B1828">IFERROR(INDEX('03.Muestra'!$C$8:$C$42,SMALL(IF("Página Web"='03.Muestra'!$D$8:$D$42,ROW('03.Muestra'!$C$8:$C$42)-MIN(ROW('03.Muestra'!$D$8:$D$42))+1,""),ROW()-1804)),"")</f>
        <v>Home - PortCastelló</v>
      </c>
      <c r="C1828" s="114" t="str" cm="1">
        <f t="array" ref="C1828">IFERROR(INDEX('03.Muestra'!$F$8:$F$42,SMALL(IF("Página Web"='03.Muestra'!$D$8:$D$42,ROW('03.Muestra'!$F$8:$F$42)-MIN(ROW('03.Muestra'!$D$8:$D$42))+1,""),ROW()-1804)),"")</f>
        <v>https://www.portcastello.com/</v>
      </c>
      <c r="D1828" s="130" t="s">
        <v>37</v>
      </c>
      <c r="E1828" s="107" t="str">
        <f t="shared" si="94"/>
        <v/>
      </c>
      <c r="F1828" s="19"/>
      <c r="G1828" s="19"/>
      <c r="H1828" s="19"/>
      <c r="I1828" s="19"/>
      <c r="J1828" s="19"/>
      <c r="K1828" s="233"/>
    </row>
    <row r="1829" spans="1:11" ht="12" customHeight="1">
      <c r="A1829" s="219" t="n" cm="1">
        <f t="array" ref="A1829">IFERROR(INDEX('03.Muestra'!$B$8:$B$42,SMALL(IF("Página Web"='03.Muestra'!$D$8:$D$42,ROW('03.Muestra'!$B$8:$B$42)-MIN(ROW('03.Muestra'!$D$8:$D$42))+1,""),ROW()-1804)),"")</f>
        <v>1.0</v>
      </c>
      <c r="B1829" s="114" t="str" cm="1">
        <f t="array" ref="B1829">IFERROR(INDEX('03.Muestra'!$C$8:$C$42,SMALL(IF("Página Web"='03.Muestra'!$D$8:$D$42,ROW('03.Muestra'!$C$8:$C$42)-MIN(ROW('03.Muestra'!$D$8:$D$42))+1,""),ROW()-1804)),"")</f>
        <v>Home - PortCastelló</v>
      </c>
      <c r="C1829" s="114" t="str" cm="1">
        <f t="array" ref="C1829">IFERROR(INDEX('03.Muestra'!$F$8:$F$42,SMALL(IF("Página Web"='03.Muestra'!$D$8:$D$42,ROW('03.Muestra'!$F$8:$F$42)-MIN(ROW('03.Muestra'!$D$8:$D$42))+1,""),ROW()-1804)),"")</f>
        <v>https://www.portcastello.com/</v>
      </c>
      <c r="D1829" s="130" t="s">
        <v>37</v>
      </c>
      <c r="E1829" s="107" t="str">
        <f t="shared" si="94"/>
        <v/>
      </c>
      <c r="F1829" s="19"/>
      <c r="G1829" s="19"/>
      <c r="H1829" s="19"/>
      <c r="I1829" s="19"/>
      <c r="J1829" s="19"/>
      <c r="K1829" s="233"/>
    </row>
    <row r="1830" spans="1:11" ht="12" customHeight="1">
      <c r="A1830" s="219" t="n" cm="1">
        <f t="array" ref="A1830">IFERROR(INDEX('03.Muestra'!$B$8:$B$42,SMALL(IF("Página Web"='03.Muestra'!$D$8:$D$42,ROW('03.Muestra'!$B$8:$B$42)-MIN(ROW('03.Muestra'!$D$8:$D$42))+1,""),ROW()-1804)),"")</f>
        <v>1.0</v>
      </c>
      <c r="B1830" s="114" t="str" cm="1">
        <f t="array" ref="B1830">IFERROR(INDEX('03.Muestra'!$C$8:$C$42,SMALL(IF("Página Web"='03.Muestra'!$D$8:$D$42,ROW('03.Muestra'!$C$8:$C$42)-MIN(ROW('03.Muestra'!$D$8:$D$42))+1,""),ROW()-1804)),"")</f>
        <v>Home - PortCastelló</v>
      </c>
      <c r="C1830" s="114" t="str" cm="1">
        <f t="array" ref="C1830">IFERROR(INDEX('03.Muestra'!$F$8:$F$42,SMALL(IF("Página Web"='03.Muestra'!$D$8:$D$42,ROW('03.Muestra'!$F$8:$F$42)-MIN(ROW('03.Muestra'!$D$8:$D$42))+1,""),ROW()-1804)),"")</f>
        <v>https://www.portcastello.com/</v>
      </c>
      <c r="D1830" s="130" t="s">
        <v>37</v>
      </c>
      <c r="E1830" s="107" t="str">
        <f t="shared" si="94"/>
        <v/>
      </c>
      <c r="F1830" s="19"/>
      <c r="G1830" s="19"/>
      <c r="H1830" s="19"/>
      <c r="I1830" s="19"/>
      <c r="J1830" s="19"/>
      <c r="K1830" s="233"/>
    </row>
    <row r="1831" spans="1:11" ht="12" customHeight="1">
      <c r="A1831" s="219" t="n" cm="1">
        <f t="array" ref="A1831">IFERROR(INDEX('03.Muestra'!$B$8:$B$42,SMALL(IF("Página Web"='03.Muestra'!$D$8:$D$42,ROW('03.Muestra'!$B$8:$B$42)-MIN(ROW('03.Muestra'!$D$8:$D$42))+1,""),ROW()-1804)),"")</f>
        <v>1.0</v>
      </c>
      <c r="B1831" s="114" t="str" cm="1">
        <f t="array" ref="B1831">IFERROR(INDEX('03.Muestra'!$C$8:$C$42,SMALL(IF("Página Web"='03.Muestra'!$D$8:$D$42,ROW('03.Muestra'!$C$8:$C$42)-MIN(ROW('03.Muestra'!$D$8:$D$42))+1,""),ROW()-1804)),"")</f>
        <v>Home - PortCastelló</v>
      </c>
      <c r="C1831" s="114" t="str" cm="1">
        <f t="array" ref="C1831">IFERROR(INDEX('03.Muestra'!$F$8:$F$42,SMALL(IF("Página Web"='03.Muestra'!$D$8:$D$42,ROW('03.Muestra'!$F$8:$F$42)-MIN(ROW('03.Muestra'!$D$8:$D$42))+1,""),ROW()-1804)),"")</f>
        <v>https://www.portcastello.com/</v>
      </c>
      <c r="D1831" s="130" t="s">
        <v>37</v>
      </c>
      <c r="E1831" s="107" t="str">
        <f t="shared" si="94"/>
        <v/>
      </c>
      <c r="F1831" s="19"/>
      <c r="G1831" s="19"/>
      <c r="H1831" s="19"/>
      <c r="I1831" s="19"/>
      <c r="J1831" s="19"/>
      <c r="K1831" s="233"/>
    </row>
    <row r="1832" spans="1:11" ht="12" customHeight="1">
      <c r="A1832" s="219" t="n" cm="1">
        <f t="array" ref="A1832">IFERROR(INDEX('03.Muestra'!$B$8:$B$42,SMALL(IF("Página Web"='03.Muestra'!$D$8:$D$42,ROW('03.Muestra'!$B$8:$B$42)-MIN(ROW('03.Muestra'!$D$8:$D$42))+1,""),ROW()-1804)),"")</f>
        <v>1.0</v>
      </c>
      <c r="B1832" s="114" t="str" cm="1">
        <f t="array" ref="B1832">IFERROR(INDEX('03.Muestra'!$C$8:$C$42,SMALL(IF("Página Web"='03.Muestra'!$D$8:$D$42,ROW('03.Muestra'!$C$8:$C$42)-MIN(ROW('03.Muestra'!$D$8:$D$42))+1,""),ROW()-1804)),"")</f>
        <v>Home - PortCastelló</v>
      </c>
      <c r="C1832" s="114" t="str" cm="1">
        <f t="array" ref="C1832">IFERROR(INDEX('03.Muestra'!$F$8:$F$42,SMALL(IF("Página Web"='03.Muestra'!$D$8:$D$42,ROW('03.Muestra'!$F$8:$F$42)-MIN(ROW('03.Muestra'!$D$8:$D$42))+1,""),ROW()-1804)),"")</f>
        <v>https://www.portcastello.com/</v>
      </c>
      <c r="D1832" s="130" t="s">
        <v>37</v>
      </c>
      <c r="E1832" s="107" t="str">
        <f t="shared" si="94"/>
        <v/>
      </c>
      <c r="G1832" s="19"/>
      <c r="H1832" s="19"/>
      <c r="I1832" s="19"/>
      <c r="J1832" s="19"/>
      <c r="K1832" s="233"/>
    </row>
    <row r="1833" spans="1:11" ht="12" customHeight="1">
      <c r="A1833" s="219" t="n" cm="1">
        <f t="array" ref="A1833">IFERROR(INDEX('03.Muestra'!$B$8:$B$42,SMALL(IF("Página Web"='03.Muestra'!$D$8:$D$42,ROW('03.Muestra'!$B$8:$B$42)-MIN(ROW('03.Muestra'!$D$8:$D$42))+1,""),ROW()-1804)),"")</f>
        <v>1.0</v>
      </c>
      <c r="B1833" s="114" t="str" cm="1">
        <f t="array" ref="B1833">IFERROR(INDEX('03.Muestra'!$C$8:$C$42,SMALL(IF("Página Web"='03.Muestra'!$D$8:$D$42,ROW('03.Muestra'!$C$8:$C$42)-MIN(ROW('03.Muestra'!$D$8:$D$42))+1,""),ROW()-1804)),"")</f>
        <v>Home - PortCastelló</v>
      </c>
      <c r="C1833" s="114" t="str" cm="1">
        <f t="array" ref="C1833">IFERROR(INDEX('03.Muestra'!$F$8:$F$42,SMALL(IF("Página Web"='03.Muestra'!$D$8:$D$42,ROW('03.Muestra'!$F$8:$F$42)-MIN(ROW('03.Muestra'!$D$8:$D$42))+1,""),ROW()-1804)),"")</f>
        <v>https://www.portcastello.com/</v>
      </c>
      <c r="D1833" s="130" t="s">
        <v>37</v>
      </c>
      <c r="E1833" s="107" t="str">
        <f t="shared" si="94"/>
        <v/>
      </c>
      <c r="G1833" s="19"/>
      <c r="H1833" s="19"/>
      <c r="I1833" s="19"/>
      <c r="J1833" s="19"/>
      <c r="K1833" s="233"/>
    </row>
    <row r="1834" spans="1:11" ht="12" customHeight="1">
      <c r="A1834" s="219" t="n" cm="1">
        <f t="array" ref="A1834">IFERROR(INDEX('03.Muestra'!$B$8:$B$42,SMALL(IF("Página Web"='03.Muestra'!$D$8:$D$42,ROW('03.Muestra'!$B$8:$B$42)-MIN(ROW('03.Muestra'!$D$8:$D$42))+1,""),ROW()-1804)),"")</f>
        <v>1.0</v>
      </c>
      <c r="B1834" s="114" t="str" cm="1">
        <f t="array" ref="B1834">IFERROR(INDEX('03.Muestra'!$C$8:$C$42,SMALL(IF("Página Web"='03.Muestra'!$D$8:$D$42,ROW('03.Muestra'!$C$8:$C$42)-MIN(ROW('03.Muestra'!$D$8:$D$42))+1,""),ROW()-1804)),"")</f>
        <v>Home - PortCastelló</v>
      </c>
      <c r="C1834" s="114" t="str" cm="1">
        <f t="array" ref="C1834">IFERROR(INDEX('03.Muestra'!$F$8:$F$42,SMALL(IF("Página Web"='03.Muestra'!$D$8:$D$42,ROW('03.Muestra'!$F$8:$F$42)-MIN(ROW('03.Muestra'!$D$8:$D$42))+1,""),ROW()-1804)),"")</f>
        <v>https://www.portcastello.com/</v>
      </c>
      <c r="D1834" s="130" t="s">
        <v>37</v>
      </c>
      <c r="E1834" s="107" t="str">
        <f t="shared" si="94"/>
        <v/>
      </c>
      <c r="G1834" s="19"/>
      <c r="H1834" s="19"/>
      <c r="I1834" s="19"/>
      <c r="J1834" s="19"/>
      <c r="K1834" s="233"/>
    </row>
    <row r="1835" spans="1:11" ht="12" customHeight="1">
      <c r="A1835" s="219" t="n" cm="1">
        <f t="array" ref="A1835">IFERROR(INDEX('03.Muestra'!$B$8:$B$42,SMALL(IF("Página Web"='03.Muestra'!$D$8:$D$42,ROW('03.Muestra'!$B$8:$B$42)-MIN(ROW('03.Muestra'!$D$8:$D$42))+1,""),ROW()-1804)),"")</f>
        <v>1.0</v>
      </c>
      <c r="B1835" s="114" t="str" cm="1">
        <f t="array" ref="B1835">IFERROR(INDEX('03.Muestra'!$C$8:$C$42,SMALL(IF("Página Web"='03.Muestra'!$D$8:$D$42,ROW('03.Muestra'!$C$8:$C$42)-MIN(ROW('03.Muestra'!$D$8:$D$42))+1,""),ROW()-1804)),"")</f>
        <v>Home - PortCastelló</v>
      </c>
      <c r="C1835" s="114" t="str" cm="1">
        <f t="array" ref="C1835">IFERROR(INDEX('03.Muestra'!$F$8:$F$42,SMALL(IF("Página Web"='03.Muestra'!$D$8:$D$42,ROW('03.Muestra'!$F$8:$F$42)-MIN(ROW('03.Muestra'!$D$8:$D$42))+1,""),ROW()-1804)),"")</f>
        <v>https://www.portcastello.com/</v>
      </c>
      <c r="D1835" s="130" t="s">
        <v>37</v>
      </c>
      <c r="E1835" s="107" t="str">
        <f t="shared" si="94"/>
        <v/>
      </c>
      <c r="F1835" s="124"/>
      <c r="G1835" s="19"/>
      <c r="H1835" s="19"/>
      <c r="I1835" s="19"/>
      <c r="J1835" s="19"/>
      <c r="K1835" s="233"/>
    </row>
    <row r="1836" spans="1:11" ht="12" customHeight="1">
      <c r="A1836" s="219" t="n" cm="1">
        <f t="array" ref="A1836">IFERROR(INDEX('03.Muestra'!$B$8:$B$42,SMALL(IF("Página Web"='03.Muestra'!$D$8:$D$42,ROW('03.Muestra'!$B$8:$B$42)-MIN(ROW('03.Muestra'!$D$8:$D$42))+1,""),ROW()-1804)),"")</f>
        <v>1.0</v>
      </c>
      <c r="B1836" s="114" t="str" cm="1">
        <f t="array" ref="B1836">IFERROR(INDEX('03.Muestra'!$C$8:$C$42,SMALL(IF("Página Web"='03.Muestra'!$D$8:$D$42,ROW('03.Muestra'!$C$8:$C$42)-MIN(ROW('03.Muestra'!$D$8:$D$42))+1,""),ROW()-1804)),"")</f>
        <v>Home - PortCastelló</v>
      </c>
      <c r="C1836" s="114" t="str" cm="1">
        <f t="array" ref="C1836">IFERROR(INDEX('03.Muestra'!$F$8:$F$42,SMALL(IF("Página Web"='03.Muestra'!$D$8:$D$42,ROW('03.Muestra'!$F$8:$F$42)-MIN(ROW('03.Muestra'!$D$8:$D$42))+1,""),ROW()-1804)),"")</f>
        <v>https://www.portcastello.com/</v>
      </c>
      <c r="D1836" s="130" t="s">
        <v>37</v>
      </c>
      <c r="E1836" s="107" t="str">
        <f t="shared" si="94"/>
        <v/>
      </c>
      <c r="F1836" s="124"/>
      <c r="G1836" s="19"/>
      <c r="H1836" s="19"/>
      <c r="I1836" s="19"/>
      <c r="J1836" s="19"/>
      <c r="K1836" s="233"/>
    </row>
    <row r="1837" spans="1:11" ht="12" customHeight="1">
      <c r="A1837" s="219" t="n" cm="1">
        <f t="array" ref="A1837">IFERROR(INDEX('03.Muestra'!$B$8:$B$42,SMALL(IF("Página Web"='03.Muestra'!$D$8:$D$42,ROW('03.Muestra'!$B$8:$B$42)-MIN(ROW('03.Muestra'!$D$8:$D$42))+1,""),ROW()-1804)),"")</f>
        <v>1.0</v>
      </c>
      <c r="B1837" s="114" t="str" cm="1">
        <f t="array" ref="B1837">IFERROR(INDEX('03.Muestra'!$C$8:$C$42,SMALL(IF("Página Web"='03.Muestra'!$D$8:$D$42,ROW('03.Muestra'!$C$8:$C$42)-MIN(ROW('03.Muestra'!$D$8:$D$42))+1,""),ROW()-1804)),"")</f>
        <v>Home - PortCastelló</v>
      </c>
      <c r="C1837" s="114" t="str" cm="1">
        <f t="array" ref="C1837">IFERROR(INDEX('03.Muestra'!$F$8:$F$42,SMALL(IF("Página Web"='03.Muestra'!$D$8:$D$42,ROW('03.Muestra'!$F$8:$F$42)-MIN(ROW('03.Muestra'!$D$8:$D$42))+1,""),ROW()-1804)),"")</f>
        <v>https://www.portcastello.com/</v>
      </c>
      <c r="D1837" s="130" t="s">
        <v>37</v>
      </c>
      <c r="E1837" s="107" t="str">
        <f t="shared" si="94"/>
        <v/>
      </c>
      <c r="F1837" s="124"/>
      <c r="G1837" s="19"/>
      <c r="H1837" s="19"/>
      <c r="I1837" s="19"/>
      <c r="J1837" s="19"/>
      <c r="K1837" s="233"/>
    </row>
    <row r="1838" spans="1:11" ht="12" customHeight="1">
      <c r="A1838" s="219" t="str" cm="1">
        <f t="array" ref="A1838">IFERROR(INDEX('03.Muestra'!$B$8:$B$42,SMALL(IF("Página Web"='03.Muestra'!$D$8:$D$42,ROW('03.Muestra'!$B$8:$B$42)-MIN(ROW('03.Muestra'!$D$8:$D$42))+1,""),ROW()-1804)),"")</f>
        <v/>
      </c>
      <c r="B1838" s="114" t="str" cm="1">
        <f t="array" ref="B1838">IFERROR(INDEX('03.Muestra'!$C$8:$C$42,SMALL(IF("Página Web"='03.Muestra'!$D$8:$D$42,ROW('03.Muestra'!$C$8:$C$42)-MIN(ROW('03.Muestra'!$D$8:$D$42))+1,""),ROW()-1804)),"")</f>
        <v/>
      </c>
      <c r="C1838" s="114" t="str" cm="1">
        <f t="array" ref="C1838">IFERROR(INDEX('03.Muestra'!$F$8:$F$42,SMALL(IF("Página Web"='03.Muestra'!$D$8:$D$42,ROW('03.Muestra'!$F$8:$F$42)-MIN(ROW('03.Muestra'!$D$8:$D$42))+1,""),ROW()-1804)),"")</f>
        <v/>
      </c>
      <c r="D1838" s="130" t="str">
        <f t="shared" si="95" ref="D1838:D1839">IF(AND(B1838&lt;&gt;"",C1838&lt;&gt;""),"N/T","")</f>
        <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268</v>
      </c>
      <c r="B1842" s="24" t="s">
        <v>90</v>
      </c>
      <c r="C1842" s="25" t="s">
        <v>421</v>
      </c>
      <c r="D1842" s="26" t="s">
        <v>32</v>
      </c>
      <c r="E1842" s="123"/>
      <c r="K1842" s="233"/>
    </row>
    <row r="1843" spans="1:11" ht="12" customHeight="1">
      <c r="A1843" s="219" t="n" cm="1">
        <f t="array" ref="A1843">IFERROR(INDEX('03.Muestra'!$B$8:$B$42,SMALL(IF("Página Web"='03.Muestra'!$D$8:$D$42,ROW('03.Muestra'!$B$8:$B$42)-MIN(ROW('03.Muestra'!$D$8:$D$42))+1,""),ROW()-1842)),"")</f>
        <v>1.0</v>
      </c>
      <c r="B1843" s="114" t="str" cm="1">
        <f t="array" ref="B1843">IFERROR(INDEX('03.Muestra'!$C$8:$C$42,SMALL(IF("Página Web"='03.Muestra'!$D$8:$D$42,ROW('03.Muestra'!$C$8:$C$42)-MIN(ROW('03.Muestra'!$D$8:$D$42))+1,""),ROW()-1842)),"")</f>
        <v>Home - PortCastelló</v>
      </c>
      <c r="C1843" s="114" t="str" cm="1">
        <f t="array" ref="C1843">IFERROR(INDEX('03.Muestra'!$F$8:$F$42,SMALL(IF("Página Web"='03.Muestra'!$D$8:$D$42,ROW('03.Muestra'!$F$8:$F$42)-MIN(ROW('03.Muestra'!$D$8:$D$42))+1,""),ROW()-1842)),"")</f>
        <v>https://www.portcastello.com/</v>
      </c>
      <c r="D1843" s="130" t="str">
        <f>IF(AND(B1843&lt;&gt;"",C1843&lt;&gt;""),"N/T","")</f>
        <v>N/T</v>
      </c>
      <c r="E1843" s="107" t="str">
        <f t="shared" ref="E1843:E1877" si="96">IF(D1843&lt;&gt;"",IF(AND(B1843&lt;&gt;"",C1843&lt;&gt;""),"","ERR"),"")</f>
        <v/>
      </c>
      <c r="F1843" s="115" t="s">
        <v>33</v>
      </c>
      <c r="G1843" s="116" t="s">
        <v>37</v>
      </c>
      <c r="H1843" s="117" t="s">
        <v>35</v>
      </c>
      <c r="I1843" s="118" t="s">
        <v>28</v>
      </c>
      <c r="J1843" s="119" t="s">
        <v>26</v>
      </c>
      <c r="K1843" s="226" t="s">
        <v>474</v>
      </c>
    </row>
    <row r="1844" spans="1:11" ht="12" customHeight="1">
      <c r="A1844" s="219" t="n" cm="1">
        <f t="array" ref="A1844">IFERROR(INDEX('03.Muestra'!$B$8:$B$42,SMALL(IF("Página Web"='03.Muestra'!$D$8:$D$42,ROW('03.Muestra'!$B$8:$B$42)-MIN(ROW('03.Muestra'!$D$8:$D$42))+1,""),ROW()-1842)),"")</f>
        <v>1.0</v>
      </c>
      <c r="B1844" s="114" t="str" cm="1">
        <f t="array" ref="B1844">IFERROR(INDEX('03.Muestra'!$C$8:$C$42,SMALL(IF("Página Web"='03.Muestra'!$D$8:$D$42,ROW('03.Muestra'!$C$8:$C$42)-MIN(ROW('03.Muestra'!$D$8:$D$42))+1,""),ROW()-1842)),"")</f>
        <v>Home - PortCastelló</v>
      </c>
      <c r="C1844" s="114" t="str" cm="1">
        <f t="array" ref="C1844">IFERROR(INDEX('03.Muestra'!$F$8:$F$42,SMALL(IF("Página Web"='03.Muestra'!$D$8:$D$42,ROW('03.Muestra'!$F$8:$F$42)-MIN(ROW('03.Muestra'!$D$8:$D$42))+1,""),ROW()-1842)),"")</f>
        <v>https://www.portcastello.com/</v>
      </c>
      <c r="D1844" s="130" t="str">
        <f t="shared" ref="D1844:D1877" si="97">IF(AND(B1844&lt;&gt;"",C1844&lt;&gt;""),"N/T","")</f>
        <v>N/T</v>
      </c>
      <c r="E1844" s="107" t="str">
        <f t="shared" si="96"/>
        <v/>
      </c>
      <c r="F1844" s="120" t="n">
        <f ca="1">COUNTIF($D1843:INDIRECT("$D" &amp;  SUM(ROW()-1,'03.Muestra'!$D$45)-1),F1843)</f>
        <v>33.0</v>
      </c>
      <c r="G1844" s="120" t="n">
        <f ca="1">COUNTIF($D1843:INDIRECT("$D" &amp;  SUM(ROW()-1,'03.Muestra'!$D$45)-1),G1843)</f>
        <v>0.0</v>
      </c>
      <c r="H1844" s="120" t="n">
        <f ca="1">COUNTIF($D1843:INDIRECT("$D" &amp;  SUM(ROW()-1,'03.Muestra'!$D$45)-1),H1843)</f>
        <v>0.0</v>
      </c>
      <c r="I1844" s="120" t="n">
        <f ca="1">COUNTIF($D1843:INDIRECT("$D" &amp;  SUM(ROW()-1,'03.Muestra'!$D$45)-1),I1843)</f>
        <v>0.0</v>
      </c>
      <c r="J1844" s="120" t="n">
        <f ca="1">COUNTIF($D1843:INDIRECT("$D" &amp;  SUM(ROW()-1,'03.Muestra'!$D$45)-1),J1843)</f>
        <v>0.0</v>
      </c>
      <c r="K1844" s="227" t="n">
        <f ca="1">IF(COUNTIF('03.Muestra'!$D$8:$D$42,"Página Web")=0,0,COUNTBLANK($D1843:INDIRECT("$D" &amp;  SUM(ROW()-1,COUNTIF('03.Muestra'!$D$8:$D$42,"Página Web"))-1)))</f>
        <v>0.0</v>
      </c>
    </row>
    <row r="1845" spans="1:11" ht="12" customHeight="1">
      <c r="A1845" s="219" t="n" cm="1">
        <f t="array" ref="A1845">IFERROR(INDEX('03.Muestra'!$B$8:$B$42,SMALL(IF("Página Web"='03.Muestra'!$D$8:$D$42,ROW('03.Muestra'!$B$8:$B$42)-MIN(ROW('03.Muestra'!$D$8:$D$42))+1,""),ROW()-1842)),"")</f>
        <v>1.0</v>
      </c>
      <c r="B1845" s="114" t="str" cm="1">
        <f t="array" ref="B1845">IFERROR(INDEX('03.Muestra'!$C$8:$C$42,SMALL(IF("Página Web"='03.Muestra'!$D$8:$D$42,ROW('03.Muestra'!$C$8:$C$42)-MIN(ROW('03.Muestra'!$D$8:$D$42))+1,""),ROW()-1842)),"")</f>
        <v>Home - PortCastelló</v>
      </c>
      <c r="C1845" s="114" t="str" cm="1">
        <f t="array" ref="C1845">IFERROR(INDEX('03.Muestra'!$F$8:$F$42,SMALL(IF("Página Web"='03.Muestra'!$D$8:$D$42,ROW('03.Muestra'!$F$8:$F$42)-MIN(ROW('03.Muestra'!$D$8:$D$42))+1,""),ROW()-1842)),"")</f>
        <v>https://www.portcastello.com/</v>
      </c>
      <c r="D1845" s="130" t="str">
        <f t="shared" si="97"/>
        <v>N/T</v>
      </c>
      <c r="E1845" s="107" t="str">
        <f t="shared" si="96"/>
        <v/>
      </c>
      <c r="G1845" s="19"/>
      <c r="H1845" s="19"/>
      <c r="I1845" s="19"/>
      <c r="J1845" s="19"/>
      <c r="K1845" s="233"/>
    </row>
    <row r="1846" spans="1:11" ht="12" customHeight="1">
      <c r="A1846" s="219" t="n" cm="1">
        <f t="array" ref="A1846">IFERROR(INDEX('03.Muestra'!$B$8:$B$42,SMALL(IF("Página Web"='03.Muestra'!$D$8:$D$42,ROW('03.Muestra'!$B$8:$B$42)-MIN(ROW('03.Muestra'!$D$8:$D$42))+1,""),ROW()-1842)),"")</f>
        <v>1.0</v>
      </c>
      <c r="B1846" s="114" t="str" cm="1">
        <f t="array" ref="B1846">IFERROR(INDEX('03.Muestra'!$C$8:$C$42,SMALL(IF("Página Web"='03.Muestra'!$D$8:$D$42,ROW('03.Muestra'!$C$8:$C$42)-MIN(ROW('03.Muestra'!$D$8:$D$42))+1,""),ROW()-1842)),"")</f>
        <v>Home - PortCastelló</v>
      </c>
      <c r="C1846" s="114" t="str" cm="1">
        <f t="array" ref="C1846">IFERROR(INDEX('03.Muestra'!$F$8:$F$42,SMALL(IF("Página Web"='03.Muestra'!$D$8:$D$42,ROW('03.Muestra'!$F$8:$F$42)-MIN(ROW('03.Muestra'!$D$8:$D$42))+1,""),ROW()-1842)),"")</f>
        <v>https://www.portcastello.com/</v>
      </c>
      <c r="D1846" s="130" t="str">
        <f t="shared" si="97"/>
        <v>N/T</v>
      </c>
      <c r="E1846" s="107" t="str">
        <f t="shared" si="96"/>
        <v/>
      </c>
      <c r="G1846" s="19"/>
      <c r="H1846" s="19"/>
      <c r="I1846" s="19"/>
      <c r="J1846" s="19"/>
      <c r="K1846" s="233"/>
    </row>
    <row r="1847" spans="1:11" ht="12" customHeight="1">
      <c r="A1847" s="219" t="n" cm="1">
        <f t="array" ref="A1847">IFERROR(INDEX('03.Muestra'!$B$8:$B$42,SMALL(IF("Página Web"='03.Muestra'!$D$8:$D$42,ROW('03.Muestra'!$B$8:$B$42)-MIN(ROW('03.Muestra'!$D$8:$D$42))+1,""),ROW()-1842)),"")</f>
        <v>1.0</v>
      </c>
      <c r="B1847" s="114" t="str" cm="1">
        <f t="array" ref="B1847">IFERROR(INDEX('03.Muestra'!$C$8:$C$42,SMALL(IF("Página Web"='03.Muestra'!$D$8:$D$42,ROW('03.Muestra'!$C$8:$C$42)-MIN(ROW('03.Muestra'!$D$8:$D$42))+1,""),ROW()-1842)),"")</f>
        <v>Home - PortCastelló</v>
      </c>
      <c r="C1847" s="114" t="str" cm="1">
        <f t="array" ref="C1847">IFERROR(INDEX('03.Muestra'!$F$8:$F$42,SMALL(IF("Página Web"='03.Muestra'!$D$8:$D$42,ROW('03.Muestra'!$F$8:$F$42)-MIN(ROW('03.Muestra'!$D$8:$D$42))+1,""),ROW()-1842)),"")</f>
        <v>https://www.portcastello.com/</v>
      </c>
      <c r="D1847" s="130" t="str">
        <f t="shared" si="97"/>
        <v>N/T</v>
      </c>
      <c r="E1847" s="107" t="str">
        <f t="shared" si="96"/>
        <v/>
      </c>
      <c r="G1847" s="19"/>
      <c r="H1847" s="19"/>
      <c r="I1847" s="19"/>
      <c r="J1847" s="19"/>
      <c r="K1847" s="233"/>
    </row>
    <row r="1848" spans="1:11" ht="12" customHeight="1">
      <c r="A1848" s="219" t="n" cm="1">
        <f t="array" ref="A1848">IFERROR(INDEX('03.Muestra'!$B$8:$B$42,SMALL(IF("Página Web"='03.Muestra'!$D$8:$D$42,ROW('03.Muestra'!$B$8:$B$42)-MIN(ROW('03.Muestra'!$D$8:$D$42))+1,""),ROW()-1842)),"")</f>
        <v>1.0</v>
      </c>
      <c r="B1848" s="114" t="str" cm="1">
        <f t="array" ref="B1848">IFERROR(INDEX('03.Muestra'!$C$8:$C$42,SMALL(IF("Página Web"='03.Muestra'!$D$8:$D$42,ROW('03.Muestra'!$C$8:$C$42)-MIN(ROW('03.Muestra'!$D$8:$D$42))+1,""),ROW()-1842)),"")</f>
        <v>Home - PortCastelló</v>
      </c>
      <c r="C1848" s="114" t="str" cm="1">
        <f t="array" ref="C1848">IFERROR(INDEX('03.Muestra'!$F$8:$F$42,SMALL(IF("Página Web"='03.Muestra'!$D$8:$D$42,ROW('03.Muestra'!$F$8:$F$42)-MIN(ROW('03.Muestra'!$D$8:$D$42))+1,""),ROW()-1842)),"")</f>
        <v>https://www.portcastello.com/</v>
      </c>
      <c r="D1848" s="130" t="str">
        <f t="shared" si="97"/>
        <v>N/T</v>
      </c>
      <c r="E1848" s="107" t="str">
        <f t="shared" si="96"/>
        <v/>
      </c>
      <c r="G1848" s="19"/>
      <c r="H1848" s="19"/>
      <c r="I1848" s="19"/>
      <c r="J1848" s="19"/>
      <c r="K1848" s="233"/>
    </row>
    <row r="1849" spans="1:11" ht="12" customHeight="1">
      <c r="A1849" s="219" t="n" cm="1">
        <f t="array" ref="A1849">IFERROR(INDEX('03.Muestra'!$B$8:$B$42,SMALL(IF("Página Web"='03.Muestra'!$D$8:$D$42,ROW('03.Muestra'!$B$8:$B$42)-MIN(ROW('03.Muestra'!$D$8:$D$42))+1,""),ROW()-1842)),"")</f>
        <v>1.0</v>
      </c>
      <c r="B1849" s="114" t="str" cm="1">
        <f t="array" ref="B1849">IFERROR(INDEX('03.Muestra'!$C$8:$C$42,SMALL(IF("Página Web"='03.Muestra'!$D$8:$D$42,ROW('03.Muestra'!$C$8:$C$42)-MIN(ROW('03.Muestra'!$D$8:$D$42))+1,""),ROW()-1842)),"")</f>
        <v>Home - PortCastelló</v>
      </c>
      <c r="C1849" s="114" t="str" cm="1">
        <f t="array" ref="C1849">IFERROR(INDEX('03.Muestra'!$F$8:$F$42,SMALL(IF("Página Web"='03.Muestra'!$D$8:$D$42,ROW('03.Muestra'!$F$8:$F$42)-MIN(ROW('03.Muestra'!$D$8:$D$42))+1,""),ROW()-1842)),"")</f>
        <v>https://www.portcastello.com/</v>
      </c>
      <c r="D1849" s="130" t="str">
        <f t="shared" si="97"/>
        <v>N/T</v>
      </c>
      <c r="E1849" s="107" t="str">
        <f t="shared" si="96"/>
        <v/>
      </c>
      <c r="F1849" s="19"/>
      <c r="G1849" s="19"/>
      <c r="H1849" s="19"/>
      <c r="I1849" s="19"/>
      <c r="J1849" s="19"/>
      <c r="K1849" s="233"/>
    </row>
    <row r="1850" spans="1:11" ht="12" customHeight="1">
      <c r="A1850" s="219" t="n" cm="1">
        <f t="array" ref="A1850">IFERROR(INDEX('03.Muestra'!$B$8:$B$42,SMALL(IF("Página Web"='03.Muestra'!$D$8:$D$42,ROW('03.Muestra'!$B$8:$B$42)-MIN(ROW('03.Muestra'!$D$8:$D$42))+1,""),ROW()-1842)),"")</f>
        <v>1.0</v>
      </c>
      <c r="B1850" s="114" t="str" cm="1">
        <f t="array" ref="B1850">IFERROR(INDEX('03.Muestra'!$C$8:$C$42,SMALL(IF("Página Web"='03.Muestra'!$D$8:$D$42,ROW('03.Muestra'!$C$8:$C$42)-MIN(ROW('03.Muestra'!$D$8:$D$42))+1,""),ROW()-1842)),"")</f>
        <v>Home - PortCastelló</v>
      </c>
      <c r="C1850" s="114" t="str" cm="1">
        <f t="array" ref="C1850">IFERROR(INDEX('03.Muestra'!$F$8:$F$42,SMALL(IF("Página Web"='03.Muestra'!$D$8:$D$42,ROW('03.Muestra'!$F$8:$F$42)-MIN(ROW('03.Muestra'!$D$8:$D$42))+1,""),ROW()-1842)),"")</f>
        <v>https://www.portcastello.com/</v>
      </c>
      <c r="D1850" s="130" t="str">
        <f t="shared" si="97"/>
        <v>N/T</v>
      </c>
      <c r="E1850" s="107" t="str">
        <f t="shared" si="96"/>
        <v/>
      </c>
      <c r="F1850" s="19"/>
      <c r="G1850" s="19"/>
      <c r="H1850" s="19"/>
      <c r="I1850" s="19"/>
      <c r="J1850" s="19"/>
      <c r="K1850" s="233"/>
    </row>
    <row r="1851" spans="1:11" ht="12" customHeight="1">
      <c r="A1851" s="219" t="n" cm="1">
        <f t="array" ref="A1851">IFERROR(INDEX('03.Muestra'!$B$8:$B$42,SMALL(IF("Página Web"='03.Muestra'!$D$8:$D$42,ROW('03.Muestra'!$B$8:$B$42)-MIN(ROW('03.Muestra'!$D$8:$D$42))+1,""),ROW()-1842)),"")</f>
        <v>1.0</v>
      </c>
      <c r="B1851" s="114" t="str" cm="1">
        <f t="array" ref="B1851">IFERROR(INDEX('03.Muestra'!$C$8:$C$42,SMALL(IF("Página Web"='03.Muestra'!$D$8:$D$42,ROW('03.Muestra'!$C$8:$C$42)-MIN(ROW('03.Muestra'!$D$8:$D$42))+1,""),ROW()-1842)),"")</f>
        <v>Home - PortCastelló</v>
      </c>
      <c r="C1851" s="114" t="str" cm="1">
        <f t="array" ref="C1851">IFERROR(INDEX('03.Muestra'!$F$8:$F$42,SMALL(IF("Página Web"='03.Muestra'!$D$8:$D$42,ROW('03.Muestra'!$F$8:$F$42)-MIN(ROW('03.Muestra'!$D$8:$D$42))+1,""),ROW()-1842)),"")</f>
        <v>https://www.portcastello.com/</v>
      </c>
      <c r="D1851" s="130" t="str">
        <f t="shared" si="97"/>
        <v>N/T</v>
      </c>
      <c r="E1851" s="107" t="str">
        <f t="shared" si="96"/>
        <v/>
      </c>
      <c r="F1851" s="19"/>
      <c r="G1851" s="19"/>
      <c r="H1851" s="19"/>
      <c r="I1851" s="19"/>
      <c r="J1851" s="19"/>
      <c r="K1851" s="233"/>
    </row>
    <row r="1852" spans="1:11" ht="12" customHeight="1">
      <c r="A1852" s="219" t="n"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Home - PortCastelló</v>
      </c>
      <c r="C1852" s="114" t="str" cm="1">
        <f t="array" ref="C1852">IFERROR(INDEX('03.Muestra'!$F$8:$F$42,SMALL(IF("Página Web"='03.Muestra'!$D$8:$D$42,ROW('03.Muestra'!$F$8:$F$42)-MIN(ROW('03.Muestra'!$D$8:$D$42))+1,""),ROW()-1842)),"")</f>
        <v>https://www.portcastello.com/</v>
      </c>
      <c r="D1852" s="130" t="str">
        <f t="shared" si="97"/>
        <v>N/T</v>
      </c>
      <c r="E1852" s="107" t="str">
        <f t="shared" si="96"/>
        <v/>
      </c>
      <c r="F1852" s="19"/>
      <c r="G1852" s="19"/>
      <c r="H1852" s="19"/>
      <c r="I1852" s="19"/>
      <c r="J1852" s="19"/>
      <c r="K1852" s="233"/>
    </row>
    <row r="1853" spans="1:11" ht="12" customHeight="1">
      <c r="A1853" s="219" t="n" cm="1">
        <f t="array" ref="A1853">IFERROR(INDEX('03.Muestra'!$B$8:$B$42,SMALL(IF("Página Web"='03.Muestra'!$D$8:$D$42,ROW('03.Muestra'!$B$8:$B$42)-MIN(ROW('03.Muestra'!$D$8:$D$42))+1,""),ROW()-1842)),"")</f>
        <v>1.0</v>
      </c>
      <c r="B1853" s="114" t="str" cm="1">
        <f t="array" ref="B1853">IFERROR(INDEX('03.Muestra'!$C$8:$C$42,SMALL(IF("Página Web"='03.Muestra'!$D$8:$D$42,ROW('03.Muestra'!$C$8:$C$42)-MIN(ROW('03.Muestra'!$D$8:$D$42))+1,""),ROW()-1842)),"")</f>
        <v>Home - PortCastelló</v>
      </c>
      <c r="C1853" s="114" t="str" cm="1">
        <f t="array" ref="C1853">IFERROR(INDEX('03.Muestra'!$F$8:$F$42,SMALL(IF("Página Web"='03.Muestra'!$D$8:$D$42,ROW('03.Muestra'!$F$8:$F$42)-MIN(ROW('03.Muestra'!$D$8:$D$42))+1,""),ROW()-1842)),"")</f>
        <v>https://www.portcastello.com/</v>
      </c>
      <c r="D1853" s="130" t="str">
        <f t="shared" si="97"/>
        <v>N/T</v>
      </c>
      <c r="E1853" s="107" t="str">
        <f t="shared" si="96"/>
        <v/>
      </c>
      <c r="F1853" s="19"/>
      <c r="G1853" s="19"/>
      <c r="H1853" s="19"/>
      <c r="I1853" s="19"/>
      <c r="J1853" s="19"/>
      <c r="K1853" s="233"/>
    </row>
    <row r="1854" spans="1:11" ht="12" customHeight="1">
      <c r="A1854" s="219" t="n" cm="1">
        <f t="array" ref="A1854">IFERROR(INDEX('03.Muestra'!$B$8:$B$42,SMALL(IF("Página Web"='03.Muestra'!$D$8:$D$42,ROW('03.Muestra'!$B$8:$B$42)-MIN(ROW('03.Muestra'!$D$8:$D$42))+1,""),ROW()-1842)),"")</f>
        <v>1.0</v>
      </c>
      <c r="B1854" s="114" t="str" cm="1">
        <f t="array" ref="B1854">IFERROR(INDEX('03.Muestra'!$C$8:$C$42,SMALL(IF("Página Web"='03.Muestra'!$D$8:$D$42,ROW('03.Muestra'!$C$8:$C$42)-MIN(ROW('03.Muestra'!$D$8:$D$42))+1,""),ROW()-1842)),"")</f>
        <v>Home - PortCastelló</v>
      </c>
      <c r="C1854" s="114" t="str" cm="1">
        <f t="array" ref="C1854">IFERROR(INDEX('03.Muestra'!$F$8:$F$42,SMALL(IF("Página Web"='03.Muestra'!$D$8:$D$42,ROW('03.Muestra'!$F$8:$F$42)-MIN(ROW('03.Muestra'!$D$8:$D$42))+1,""),ROW()-1842)),"")</f>
        <v>https://www.portcastello.com/</v>
      </c>
      <c r="D1854" s="130" t="str">
        <f t="shared" si="97"/>
        <v>N/T</v>
      </c>
      <c r="E1854" s="107" t="str">
        <f t="shared" si="96"/>
        <v/>
      </c>
      <c r="F1854" s="19"/>
      <c r="G1854" s="19"/>
      <c r="H1854" s="19"/>
      <c r="I1854" s="19"/>
      <c r="J1854" s="19"/>
      <c r="K1854" s="233"/>
    </row>
    <row r="1855" spans="1:11" ht="12" customHeight="1">
      <c r="A1855" s="219" t="n" cm="1">
        <f t="array" ref="A1855">IFERROR(INDEX('03.Muestra'!$B$8:$B$42,SMALL(IF("Página Web"='03.Muestra'!$D$8:$D$42,ROW('03.Muestra'!$B$8:$B$42)-MIN(ROW('03.Muestra'!$D$8:$D$42))+1,""),ROW()-1842)),"")</f>
        <v>1.0</v>
      </c>
      <c r="B1855" s="114" t="str" cm="1">
        <f t="array" ref="B1855">IFERROR(INDEX('03.Muestra'!$C$8:$C$42,SMALL(IF("Página Web"='03.Muestra'!$D$8:$D$42,ROW('03.Muestra'!$C$8:$C$42)-MIN(ROW('03.Muestra'!$D$8:$D$42))+1,""),ROW()-1842)),"")</f>
        <v>Home - PortCastelló</v>
      </c>
      <c r="C1855" s="114" t="str" cm="1">
        <f t="array" ref="C1855">IFERROR(INDEX('03.Muestra'!$F$8:$F$42,SMALL(IF("Página Web"='03.Muestra'!$D$8:$D$42,ROW('03.Muestra'!$F$8:$F$42)-MIN(ROW('03.Muestra'!$D$8:$D$42))+1,""),ROW()-1842)),"")</f>
        <v>https://www.portcastello.com/</v>
      </c>
      <c r="D1855" s="130" t="str">
        <f t="shared" si="97"/>
        <v>N/T</v>
      </c>
      <c r="E1855" s="107" t="str">
        <f t="shared" si="96"/>
        <v/>
      </c>
      <c r="F1855" s="19"/>
      <c r="G1855" s="19"/>
      <c r="H1855" s="19"/>
      <c r="I1855" s="19"/>
      <c r="J1855" s="19"/>
      <c r="K1855" s="233"/>
    </row>
    <row r="1856" spans="1:11" ht="12" customHeight="1">
      <c r="A1856" s="219" t="n" cm="1">
        <f t="array" ref="A1856">IFERROR(INDEX('03.Muestra'!$B$8:$B$42,SMALL(IF("Página Web"='03.Muestra'!$D$8:$D$42,ROW('03.Muestra'!$B$8:$B$42)-MIN(ROW('03.Muestra'!$D$8:$D$42))+1,""),ROW()-1842)),"")</f>
        <v>1.0</v>
      </c>
      <c r="B1856" s="114" t="str" cm="1">
        <f t="array" ref="B1856">IFERROR(INDEX('03.Muestra'!$C$8:$C$42,SMALL(IF("Página Web"='03.Muestra'!$D$8:$D$42,ROW('03.Muestra'!$C$8:$C$42)-MIN(ROW('03.Muestra'!$D$8:$D$42))+1,""),ROW()-1842)),"")</f>
        <v>Home - PortCastelló</v>
      </c>
      <c r="C1856" s="114" t="str" cm="1">
        <f t="array" ref="C1856">IFERROR(INDEX('03.Muestra'!$F$8:$F$42,SMALL(IF("Página Web"='03.Muestra'!$D$8:$D$42,ROW('03.Muestra'!$F$8:$F$42)-MIN(ROW('03.Muestra'!$D$8:$D$42))+1,""),ROW()-1842)),"")</f>
        <v>https://www.portcastello.com/</v>
      </c>
      <c r="D1856" s="130" t="str">
        <f t="shared" si="97"/>
        <v>N/T</v>
      </c>
      <c r="E1856" s="107" t="str">
        <f t="shared" si="96"/>
        <v/>
      </c>
      <c r="F1856" s="19"/>
      <c r="G1856" s="19"/>
      <c r="H1856" s="19"/>
      <c r="I1856" s="19"/>
      <c r="J1856" s="19"/>
      <c r="K1856" s="233"/>
    </row>
    <row r="1857" spans="1:11" ht="12" customHeight="1">
      <c r="A1857" s="219" t="n" cm="1">
        <f t="array" ref="A1857">IFERROR(INDEX('03.Muestra'!$B$8:$B$42,SMALL(IF("Página Web"='03.Muestra'!$D$8:$D$42,ROW('03.Muestra'!$B$8:$B$42)-MIN(ROW('03.Muestra'!$D$8:$D$42))+1,""),ROW()-1842)),"")</f>
        <v>1.0</v>
      </c>
      <c r="B1857" s="114" t="str" cm="1">
        <f t="array" ref="B1857">IFERROR(INDEX('03.Muestra'!$C$8:$C$42,SMALL(IF("Página Web"='03.Muestra'!$D$8:$D$42,ROW('03.Muestra'!$C$8:$C$42)-MIN(ROW('03.Muestra'!$D$8:$D$42))+1,""),ROW()-1842)),"")</f>
        <v>Home - PortCastelló</v>
      </c>
      <c r="C1857" s="114" t="str" cm="1">
        <f t="array" ref="C1857">IFERROR(INDEX('03.Muestra'!$F$8:$F$42,SMALL(IF("Página Web"='03.Muestra'!$D$8:$D$42,ROW('03.Muestra'!$F$8:$F$42)-MIN(ROW('03.Muestra'!$D$8:$D$42))+1,""),ROW()-1842)),"")</f>
        <v>https://www.portcastello.com/</v>
      </c>
      <c r="D1857" s="130" t="str">
        <f t="shared" si="97"/>
        <v>N/T</v>
      </c>
      <c r="E1857" s="107" t="str">
        <f t="shared" si="96"/>
        <v/>
      </c>
      <c r="F1857" s="19"/>
      <c r="G1857" s="19"/>
      <c r="H1857" s="19"/>
      <c r="I1857" s="19"/>
      <c r="J1857" s="19"/>
      <c r="K1857" s="233"/>
    </row>
    <row r="1858" spans="1:11" ht="12" customHeight="1">
      <c r="A1858" s="219" t="n" cm="1">
        <f t="array" ref="A1858">IFERROR(INDEX('03.Muestra'!$B$8:$B$42,SMALL(IF("Página Web"='03.Muestra'!$D$8:$D$42,ROW('03.Muestra'!$B$8:$B$42)-MIN(ROW('03.Muestra'!$D$8:$D$42))+1,""),ROW()-1842)),"")</f>
        <v>1.0</v>
      </c>
      <c r="B1858" s="114" t="str" cm="1">
        <f t="array" ref="B1858">IFERROR(INDEX('03.Muestra'!$C$8:$C$42,SMALL(IF("Página Web"='03.Muestra'!$D$8:$D$42,ROW('03.Muestra'!$C$8:$C$42)-MIN(ROW('03.Muestra'!$D$8:$D$42))+1,""),ROW()-1842)),"")</f>
        <v>Home - PortCastelló</v>
      </c>
      <c r="C1858" s="114" t="str" cm="1">
        <f t="array" ref="C1858">IFERROR(INDEX('03.Muestra'!$F$8:$F$42,SMALL(IF("Página Web"='03.Muestra'!$D$8:$D$42,ROW('03.Muestra'!$F$8:$F$42)-MIN(ROW('03.Muestra'!$D$8:$D$42))+1,""),ROW()-1842)),"")</f>
        <v>https://www.portcastello.com/</v>
      </c>
      <c r="D1858" s="130" t="str">
        <f t="shared" si="97"/>
        <v>N/T</v>
      </c>
      <c r="E1858" s="107" t="str">
        <f t="shared" si="96"/>
        <v/>
      </c>
      <c r="F1858" s="19"/>
      <c r="G1858" s="19"/>
      <c r="H1858" s="19"/>
      <c r="I1858" s="19"/>
      <c r="J1858" s="19"/>
      <c r="K1858" s="233"/>
    </row>
    <row r="1859" spans="1:11" ht="12" customHeight="1">
      <c r="A1859" s="219" t="n" cm="1">
        <f t="array" ref="A1859">IFERROR(INDEX('03.Muestra'!$B$8:$B$42,SMALL(IF("Página Web"='03.Muestra'!$D$8:$D$42,ROW('03.Muestra'!$B$8:$B$42)-MIN(ROW('03.Muestra'!$D$8:$D$42))+1,""),ROW()-1842)),"")</f>
        <v>1.0</v>
      </c>
      <c r="B1859" s="114" t="str" cm="1">
        <f t="array" ref="B1859">IFERROR(INDEX('03.Muestra'!$C$8:$C$42,SMALL(IF("Página Web"='03.Muestra'!$D$8:$D$42,ROW('03.Muestra'!$C$8:$C$42)-MIN(ROW('03.Muestra'!$D$8:$D$42))+1,""),ROW()-1842)),"")</f>
        <v>Home - PortCastelló</v>
      </c>
      <c r="C1859" s="114" t="str" cm="1">
        <f t="array" ref="C1859">IFERROR(INDEX('03.Muestra'!$F$8:$F$42,SMALL(IF("Página Web"='03.Muestra'!$D$8:$D$42,ROW('03.Muestra'!$F$8:$F$42)-MIN(ROW('03.Muestra'!$D$8:$D$42))+1,""),ROW()-1842)),"")</f>
        <v>https://www.portcastello.com/</v>
      </c>
      <c r="D1859" s="130" t="str">
        <f t="shared" si="97"/>
        <v>N/T</v>
      </c>
      <c r="E1859" s="107" t="str">
        <f t="shared" si="96"/>
        <v/>
      </c>
      <c r="F1859" s="19"/>
      <c r="G1859" s="19"/>
      <c r="H1859" s="19"/>
      <c r="I1859" s="19"/>
      <c r="J1859" s="19"/>
      <c r="K1859" s="233"/>
    </row>
    <row r="1860" spans="1:11" ht="12" customHeight="1">
      <c r="A1860" s="219" t="n" cm="1">
        <f t="array" ref="A1860">IFERROR(INDEX('03.Muestra'!$B$8:$B$42,SMALL(IF("Página Web"='03.Muestra'!$D$8:$D$42,ROW('03.Muestra'!$B$8:$B$42)-MIN(ROW('03.Muestra'!$D$8:$D$42))+1,""),ROW()-1842)),"")</f>
        <v>1.0</v>
      </c>
      <c r="B1860" s="114" t="str" cm="1">
        <f t="array" ref="B1860">IFERROR(INDEX('03.Muestra'!$C$8:$C$42,SMALL(IF("Página Web"='03.Muestra'!$D$8:$D$42,ROW('03.Muestra'!$C$8:$C$42)-MIN(ROW('03.Muestra'!$D$8:$D$42))+1,""),ROW()-1842)),"")</f>
        <v>Home - PortCastelló</v>
      </c>
      <c r="C1860" s="114" t="str" cm="1">
        <f t="array" ref="C1860">IFERROR(INDEX('03.Muestra'!$F$8:$F$42,SMALL(IF("Página Web"='03.Muestra'!$D$8:$D$42,ROW('03.Muestra'!$F$8:$F$42)-MIN(ROW('03.Muestra'!$D$8:$D$42))+1,""),ROW()-1842)),"")</f>
        <v>https://www.portcastello.com/</v>
      </c>
      <c r="D1860" s="130" t="str">
        <f t="shared" si="97"/>
        <v>N/T</v>
      </c>
      <c r="E1860" s="107" t="str">
        <f t="shared" si="96"/>
        <v/>
      </c>
      <c r="F1860" s="19"/>
      <c r="G1860" s="19"/>
      <c r="H1860" s="19"/>
      <c r="I1860" s="19"/>
      <c r="J1860" s="19"/>
      <c r="K1860" s="233"/>
    </row>
    <row r="1861" spans="1:11" ht="12" customHeight="1">
      <c r="A1861" s="219" t="n" cm="1">
        <f t="array" ref="A1861">IFERROR(INDEX('03.Muestra'!$B$8:$B$42,SMALL(IF("Página Web"='03.Muestra'!$D$8:$D$42,ROW('03.Muestra'!$B$8:$B$42)-MIN(ROW('03.Muestra'!$D$8:$D$42))+1,""),ROW()-1842)),"")</f>
        <v>1.0</v>
      </c>
      <c r="B1861" s="114" t="str" cm="1">
        <f t="array" ref="B1861">IFERROR(INDEX('03.Muestra'!$C$8:$C$42,SMALL(IF("Página Web"='03.Muestra'!$D$8:$D$42,ROW('03.Muestra'!$C$8:$C$42)-MIN(ROW('03.Muestra'!$D$8:$D$42))+1,""),ROW()-1842)),"")</f>
        <v>Home - PortCastelló</v>
      </c>
      <c r="C1861" s="114" t="str" cm="1">
        <f t="array" ref="C1861">IFERROR(INDEX('03.Muestra'!$F$8:$F$42,SMALL(IF("Página Web"='03.Muestra'!$D$8:$D$42,ROW('03.Muestra'!$F$8:$F$42)-MIN(ROW('03.Muestra'!$D$8:$D$42))+1,""),ROW()-1842)),"")</f>
        <v>https://www.portcastello.com/</v>
      </c>
      <c r="D1861" s="130" t="str">
        <f t="shared" si="97"/>
        <v>N/T</v>
      </c>
      <c r="E1861" s="107" t="str">
        <f t="shared" si="96"/>
        <v/>
      </c>
      <c r="F1861" s="19"/>
      <c r="G1861" s="19"/>
      <c r="H1861" s="19"/>
      <c r="I1861" s="19"/>
      <c r="J1861" s="19"/>
      <c r="K1861" s="233"/>
    </row>
    <row r="1862" spans="1:11" ht="12" customHeight="1">
      <c r="A1862" s="219" t="n" cm="1">
        <f t="array" ref="A1862">IFERROR(INDEX('03.Muestra'!$B$8:$B$42,SMALL(IF("Página Web"='03.Muestra'!$D$8:$D$42,ROW('03.Muestra'!$B$8:$B$42)-MIN(ROW('03.Muestra'!$D$8:$D$42))+1,""),ROW()-1842)),"")</f>
        <v>1.0</v>
      </c>
      <c r="B1862" s="114" t="str" cm="1">
        <f t="array" ref="B1862">IFERROR(INDEX('03.Muestra'!$C$8:$C$42,SMALL(IF("Página Web"='03.Muestra'!$D$8:$D$42,ROW('03.Muestra'!$C$8:$C$42)-MIN(ROW('03.Muestra'!$D$8:$D$42))+1,""),ROW()-1842)),"")</f>
        <v>Home - PortCastelló</v>
      </c>
      <c r="C1862" s="114" t="str" cm="1">
        <f t="array" ref="C1862">IFERROR(INDEX('03.Muestra'!$F$8:$F$42,SMALL(IF("Página Web"='03.Muestra'!$D$8:$D$42,ROW('03.Muestra'!$F$8:$F$42)-MIN(ROW('03.Muestra'!$D$8:$D$42))+1,""),ROW()-1842)),"")</f>
        <v>https://www.portcastello.com/</v>
      </c>
      <c r="D1862" s="130" t="str">
        <f t="shared" si="97"/>
        <v>N/T</v>
      </c>
      <c r="E1862" s="107" t="str">
        <f t="shared" si="96"/>
        <v/>
      </c>
      <c r="F1862" s="19"/>
      <c r="G1862" s="19"/>
      <c r="H1862" s="19"/>
      <c r="I1862" s="19"/>
      <c r="J1862" s="19"/>
      <c r="K1862" s="233"/>
    </row>
    <row r="1863" spans="1:11" ht="12" customHeight="1">
      <c r="A1863" s="219" t="n" cm="1">
        <f t="array" ref="A1863">IFERROR(INDEX('03.Muestra'!$B$8:$B$42,SMALL(IF("Página Web"='03.Muestra'!$D$8:$D$42,ROW('03.Muestra'!$B$8:$B$42)-MIN(ROW('03.Muestra'!$D$8:$D$42))+1,""),ROW()-1842)),"")</f>
        <v>1.0</v>
      </c>
      <c r="B1863" s="114" t="str" cm="1">
        <f t="array" ref="B1863">IFERROR(INDEX('03.Muestra'!$C$8:$C$42,SMALL(IF("Página Web"='03.Muestra'!$D$8:$D$42,ROW('03.Muestra'!$C$8:$C$42)-MIN(ROW('03.Muestra'!$D$8:$D$42))+1,""),ROW()-1842)),"")</f>
        <v>Home - PortCastelló</v>
      </c>
      <c r="C1863" s="114" t="str" cm="1">
        <f t="array" ref="C1863">IFERROR(INDEX('03.Muestra'!$F$8:$F$42,SMALL(IF("Página Web"='03.Muestra'!$D$8:$D$42,ROW('03.Muestra'!$F$8:$F$42)-MIN(ROW('03.Muestra'!$D$8:$D$42))+1,""),ROW()-1842)),"")</f>
        <v>https://www.portcastello.com/</v>
      </c>
      <c r="D1863" s="130" t="str">
        <f t="shared" si="97"/>
        <v>N/T</v>
      </c>
      <c r="E1863" s="107" t="str">
        <f t="shared" si="96"/>
        <v/>
      </c>
      <c r="F1863" s="19"/>
      <c r="G1863" s="19"/>
      <c r="H1863" s="19"/>
      <c r="I1863" s="19"/>
      <c r="J1863" s="19"/>
      <c r="K1863" s="233"/>
    </row>
    <row r="1864" spans="1:11" ht="12" customHeight="1">
      <c r="A1864" s="219" t="n" cm="1">
        <f t="array" ref="A1864">IFERROR(INDEX('03.Muestra'!$B$8:$B$42,SMALL(IF("Página Web"='03.Muestra'!$D$8:$D$42,ROW('03.Muestra'!$B$8:$B$42)-MIN(ROW('03.Muestra'!$D$8:$D$42))+1,""),ROW()-1842)),"")</f>
        <v>1.0</v>
      </c>
      <c r="B1864" s="114" t="str" cm="1">
        <f t="array" ref="B1864">IFERROR(INDEX('03.Muestra'!$C$8:$C$42,SMALL(IF("Página Web"='03.Muestra'!$D$8:$D$42,ROW('03.Muestra'!$C$8:$C$42)-MIN(ROW('03.Muestra'!$D$8:$D$42))+1,""),ROW()-1842)),"")</f>
        <v>Home - PortCastelló</v>
      </c>
      <c r="C1864" s="114" t="str" cm="1">
        <f t="array" ref="C1864">IFERROR(INDEX('03.Muestra'!$F$8:$F$42,SMALL(IF("Página Web"='03.Muestra'!$D$8:$D$42,ROW('03.Muestra'!$F$8:$F$42)-MIN(ROW('03.Muestra'!$D$8:$D$42))+1,""),ROW()-1842)),"")</f>
        <v>https://www.portcastello.com/</v>
      </c>
      <c r="D1864" s="130" t="str">
        <f t="shared" si="97"/>
        <v>N/T</v>
      </c>
      <c r="E1864" s="107" t="str">
        <f t="shared" si="96"/>
        <v/>
      </c>
      <c r="F1864" s="19"/>
      <c r="G1864" s="19"/>
      <c r="H1864" s="19"/>
      <c r="I1864" s="19"/>
      <c r="J1864" s="19"/>
      <c r="K1864" s="233"/>
    </row>
    <row r="1865" spans="1:11" ht="12" customHeight="1">
      <c r="A1865" s="219" t="n" cm="1">
        <f t="array" ref="A1865">IFERROR(INDEX('03.Muestra'!$B$8:$B$42,SMALL(IF("Página Web"='03.Muestra'!$D$8:$D$42,ROW('03.Muestra'!$B$8:$B$42)-MIN(ROW('03.Muestra'!$D$8:$D$42))+1,""),ROW()-1842)),"")</f>
        <v>1.0</v>
      </c>
      <c r="B1865" s="114" t="str" cm="1">
        <f t="array" ref="B1865">IFERROR(INDEX('03.Muestra'!$C$8:$C$42,SMALL(IF("Página Web"='03.Muestra'!$D$8:$D$42,ROW('03.Muestra'!$C$8:$C$42)-MIN(ROW('03.Muestra'!$D$8:$D$42))+1,""),ROW()-1842)),"")</f>
        <v>Home - PortCastelló</v>
      </c>
      <c r="C1865" s="114" t="str" cm="1">
        <f t="array" ref="C1865">IFERROR(INDEX('03.Muestra'!$F$8:$F$42,SMALL(IF("Página Web"='03.Muestra'!$D$8:$D$42,ROW('03.Muestra'!$F$8:$F$42)-MIN(ROW('03.Muestra'!$D$8:$D$42))+1,""),ROW()-1842)),"")</f>
        <v>https://www.portcastello.com/</v>
      </c>
      <c r="D1865" s="130" t="str">
        <f t="shared" si="97"/>
        <v>N/T</v>
      </c>
      <c r="E1865" s="107" t="str">
        <f t="shared" si="96"/>
        <v/>
      </c>
      <c r="F1865" s="19"/>
      <c r="G1865" s="19"/>
      <c r="H1865" s="19"/>
      <c r="I1865" s="19"/>
      <c r="J1865" s="19"/>
      <c r="K1865" s="233"/>
    </row>
    <row r="1866" spans="1:11" ht="12" customHeight="1">
      <c r="A1866" s="219" t="n" cm="1">
        <f t="array" ref="A1866">IFERROR(INDEX('03.Muestra'!$B$8:$B$42,SMALL(IF("Página Web"='03.Muestra'!$D$8:$D$42,ROW('03.Muestra'!$B$8:$B$42)-MIN(ROW('03.Muestra'!$D$8:$D$42))+1,""),ROW()-1842)),"")</f>
        <v>1.0</v>
      </c>
      <c r="B1866" s="114" t="str" cm="1">
        <f t="array" ref="B1866">IFERROR(INDEX('03.Muestra'!$C$8:$C$42,SMALL(IF("Página Web"='03.Muestra'!$D$8:$D$42,ROW('03.Muestra'!$C$8:$C$42)-MIN(ROW('03.Muestra'!$D$8:$D$42))+1,""),ROW()-1842)),"")</f>
        <v>Home - PortCastelló</v>
      </c>
      <c r="C1866" s="114" t="str" cm="1">
        <f t="array" ref="C1866">IFERROR(INDEX('03.Muestra'!$F$8:$F$42,SMALL(IF("Página Web"='03.Muestra'!$D$8:$D$42,ROW('03.Muestra'!$F$8:$F$42)-MIN(ROW('03.Muestra'!$D$8:$D$42))+1,""),ROW()-1842)),"")</f>
        <v>https://www.portcastello.com/</v>
      </c>
      <c r="D1866" s="130" t="str">
        <f t="shared" si="97"/>
        <v>N/T</v>
      </c>
      <c r="E1866" s="107" t="str">
        <f t="shared" si="96"/>
        <v/>
      </c>
      <c r="F1866" s="19"/>
      <c r="G1866" s="19"/>
      <c r="H1866" s="19"/>
      <c r="I1866" s="19"/>
      <c r="J1866" s="19"/>
      <c r="K1866" s="233"/>
    </row>
    <row r="1867" spans="1:11" ht="12" customHeight="1">
      <c r="A1867" s="219" t="n" cm="1">
        <f t="array" ref="A1867">IFERROR(INDEX('03.Muestra'!$B$8:$B$42,SMALL(IF("Página Web"='03.Muestra'!$D$8:$D$42,ROW('03.Muestra'!$B$8:$B$42)-MIN(ROW('03.Muestra'!$D$8:$D$42))+1,""),ROW()-1842)),"")</f>
        <v>1.0</v>
      </c>
      <c r="B1867" s="114" t="str" cm="1">
        <f t="array" ref="B1867">IFERROR(INDEX('03.Muestra'!$C$8:$C$42,SMALL(IF("Página Web"='03.Muestra'!$D$8:$D$42,ROW('03.Muestra'!$C$8:$C$42)-MIN(ROW('03.Muestra'!$D$8:$D$42))+1,""),ROW()-1842)),"")</f>
        <v>Home - PortCastelló</v>
      </c>
      <c r="C1867" s="114" t="str" cm="1">
        <f t="array" ref="C1867">IFERROR(INDEX('03.Muestra'!$F$8:$F$42,SMALL(IF("Página Web"='03.Muestra'!$D$8:$D$42,ROW('03.Muestra'!$F$8:$F$42)-MIN(ROW('03.Muestra'!$D$8:$D$42))+1,""),ROW()-1842)),"")</f>
        <v>https://www.portcastello.com/</v>
      </c>
      <c r="D1867" s="130" t="str">
        <f t="shared" si="97"/>
        <v>N/T</v>
      </c>
      <c r="E1867" s="107" t="str">
        <f t="shared" si="96"/>
        <v/>
      </c>
      <c r="F1867" s="19"/>
      <c r="G1867" s="19"/>
      <c r="H1867" s="19"/>
      <c r="I1867" s="19"/>
      <c r="J1867" s="19"/>
      <c r="K1867" s="233"/>
    </row>
    <row r="1868" spans="1:11" ht="12" customHeight="1">
      <c r="A1868" s="219" t="n" cm="1">
        <f t="array" ref="A1868">IFERROR(INDEX('03.Muestra'!$B$8:$B$42,SMALL(IF("Página Web"='03.Muestra'!$D$8:$D$42,ROW('03.Muestra'!$B$8:$B$42)-MIN(ROW('03.Muestra'!$D$8:$D$42))+1,""),ROW()-1842)),"")</f>
        <v>1.0</v>
      </c>
      <c r="B1868" s="114" t="str" cm="1">
        <f t="array" ref="B1868">IFERROR(INDEX('03.Muestra'!$C$8:$C$42,SMALL(IF("Página Web"='03.Muestra'!$D$8:$D$42,ROW('03.Muestra'!$C$8:$C$42)-MIN(ROW('03.Muestra'!$D$8:$D$42))+1,""),ROW()-1842)),"")</f>
        <v>Home - PortCastelló</v>
      </c>
      <c r="C1868" s="114" t="str" cm="1">
        <f t="array" ref="C1868">IFERROR(INDEX('03.Muestra'!$F$8:$F$42,SMALL(IF("Página Web"='03.Muestra'!$D$8:$D$42,ROW('03.Muestra'!$F$8:$F$42)-MIN(ROW('03.Muestra'!$D$8:$D$42))+1,""),ROW()-1842)),"")</f>
        <v>https://www.portcastello.com/</v>
      </c>
      <c r="D1868" s="130" t="str">
        <f t="shared" si="97"/>
        <v>N/T</v>
      </c>
      <c r="E1868" s="107" t="str">
        <f t="shared" si="96"/>
        <v/>
      </c>
      <c r="F1868" s="19"/>
      <c r="G1868" s="19"/>
      <c r="H1868" s="19"/>
      <c r="I1868" s="19"/>
      <c r="J1868" s="19"/>
      <c r="K1868" s="233"/>
    </row>
    <row r="1869" spans="1:11" ht="12" customHeight="1">
      <c r="A1869" s="219" t="n" cm="1">
        <f t="array" ref="A1869">IFERROR(INDEX('03.Muestra'!$B$8:$B$42,SMALL(IF("Página Web"='03.Muestra'!$D$8:$D$42,ROW('03.Muestra'!$B$8:$B$42)-MIN(ROW('03.Muestra'!$D$8:$D$42))+1,""),ROW()-1842)),"")</f>
        <v>1.0</v>
      </c>
      <c r="B1869" s="114" t="str" cm="1">
        <f t="array" ref="B1869">IFERROR(INDEX('03.Muestra'!$C$8:$C$42,SMALL(IF("Página Web"='03.Muestra'!$D$8:$D$42,ROW('03.Muestra'!$C$8:$C$42)-MIN(ROW('03.Muestra'!$D$8:$D$42))+1,""),ROW()-1842)),"")</f>
        <v>Home - PortCastelló</v>
      </c>
      <c r="C1869" s="114" t="str" cm="1">
        <f t="array" ref="C1869">IFERROR(INDEX('03.Muestra'!$F$8:$F$42,SMALL(IF("Página Web"='03.Muestra'!$D$8:$D$42,ROW('03.Muestra'!$F$8:$F$42)-MIN(ROW('03.Muestra'!$D$8:$D$42))+1,""),ROW()-1842)),"")</f>
        <v>https://www.portcastello.com/</v>
      </c>
      <c r="D1869" s="130" t="str">
        <f t="shared" si="97"/>
        <v>N/T</v>
      </c>
      <c r="E1869" s="107" t="str">
        <f t="shared" si="96"/>
        <v/>
      </c>
      <c r="F1869" s="19"/>
      <c r="G1869" s="19"/>
      <c r="H1869" s="19"/>
      <c r="I1869" s="19"/>
      <c r="J1869" s="19"/>
      <c r="K1869" s="233"/>
    </row>
    <row r="1870" spans="1:11" ht="12" customHeight="1">
      <c r="A1870" s="219" t="n" cm="1">
        <f t="array" ref="A1870">IFERROR(INDEX('03.Muestra'!$B$8:$B$42,SMALL(IF("Página Web"='03.Muestra'!$D$8:$D$42,ROW('03.Muestra'!$B$8:$B$42)-MIN(ROW('03.Muestra'!$D$8:$D$42))+1,""),ROW()-1842)),"")</f>
        <v>1.0</v>
      </c>
      <c r="B1870" s="114" t="str" cm="1">
        <f t="array" ref="B1870">IFERROR(INDEX('03.Muestra'!$C$8:$C$42,SMALL(IF("Página Web"='03.Muestra'!$D$8:$D$42,ROW('03.Muestra'!$C$8:$C$42)-MIN(ROW('03.Muestra'!$D$8:$D$42))+1,""),ROW()-1842)),"")</f>
        <v>Home - PortCastelló</v>
      </c>
      <c r="C1870" s="114" t="str" cm="1">
        <f t="array" ref="C1870">IFERROR(INDEX('03.Muestra'!$F$8:$F$42,SMALL(IF("Página Web"='03.Muestra'!$D$8:$D$42,ROW('03.Muestra'!$F$8:$F$42)-MIN(ROW('03.Muestra'!$D$8:$D$42))+1,""),ROW()-1842)),"")</f>
        <v>https://www.portcastello.com/</v>
      </c>
      <c r="D1870" s="130" t="str">
        <f t="shared" si="97"/>
        <v>N/T</v>
      </c>
      <c r="E1870" s="107" t="str">
        <f t="shared" si="96"/>
        <v/>
      </c>
      <c r="G1870" s="19"/>
      <c r="H1870" s="19"/>
      <c r="I1870" s="19"/>
      <c r="J1870" s="19"/>
      <c r="K1870" s="233"/>
    </row>
    <row r="1871" spans="1:11" ht="12" customHeight="1">
      <c r="A1871" s="219" t="n" cm="1">
        <f t="array" ref="A1871">IFERROR(INDEX('03.Muestra'!$B$8:$B$42,SMALL(IF("Página Web"='03.Muestra'!$D$8:$D$42,ROW('03.Muestra'!$B$8:$B$42)-MIN(ROW('03.Muestra'!$D$8:$D$42))+1,""),ROW()-1842)),"")</f>
        <v>1.0</v>
      </c>
      <c r="B1871" s="114" t="str" cm="1">
        <f t="array" ref="B1871">IFERROR(INDEX('03.Muestra'!$C$8:$C$42,SMALL(IF("Página Web"='03.Muestra'!$D$8:$D$42,ROW('03.Muestra'!$C$8:$C$42)-MIN(ROW('03.Muestra'!$D$8:$D$42))+1,""),ROW()-1842)),"")</f>
        <v>Home - PortCastelló</v>
      </c>
      <c r="C1871" s="114" t="str" cm="1">
        <f t="array" ref="C1871">IFERROR(INDEX('03.Muestra'!$F$8:$F$42,SMALL(IF("Página Web"='03.Muestra'!$D$8:$D$42,ROW('03.Muestra'!$F$8:$F$42)-MIN(ROW('03.Muestra'!$D$8:$D$42))+1,""),ROW()-1842)),"")</f>
        <v>https://www.portcastello.com/</v>
      </c>
      <c r="D1871" s="130" t="str">
        <f t="shared" si="97"/>
        <v>N/T</v>
      </c>
      <c r="E1871" s="107" t="str">
        <f t="shared" si="96"/>
        <v/>
      </c>
      <c r="F1871" s="124"/>
      <c r="G1871" s="19"/>
      <c r="H1871" s="19"/>
      <c r="I1871" s="19"/>
      <c r="J1871" s="19"/>
      <c r="K1871" s="233"/>
    </row>
    <row r="1872" spans="1:11" ht="12" customHeight="1">
      <c r="A1872" s="219" t="n" cm="1">
        <f t="array" ref="A1872">IFERROR(INDEX('03.Muestra'!$B$8:$B$42,SMALL(IF("Página Web"='03.Muestra'!$D$8:$D$42,ROW('03.Muestra'!$B$8:$B$42)-MIN(ROW('03.Muestra'!$D$8:$D$42))+1,""),ROW()-1842)),"")</f>
        <v>1.0</v>
      </c>
      <c r="B1872" s="114" t="str" cm="1">
        <f t="array" ref="B1872">IFERROR(INDEX('03.Muestra'!$C$8:$C$42,SMALL(IF("Página Web"='03.Muestra'!$D$8:$D$42,ROW('03.Muestra'!$C$8:$C$42)-MIN(ROW('03.Muestra'!$D$8:$D$42))+1,""),ROW()-1842)),"")</f>
        <v>Home - PortCastelló</v>
      </c>
      <c r="C1872" s="114" t="str" cm="1">
        <f t="array" ref="C1872">IFERROR(INDEX('03.Muestra'!$F$8:$F$42,SMALL(IF("Página Web"='03.Muestra'!$D$8:$D$42,ROW('03.Muestra'!$F$8:$F$42)-MIN(ROW('03.Muestra'!$D$8:$D$42))+1,""),ROW()-1842)),"")</f>
        <v>https://www.portcastello.com/</v>
      </c>
      <c r="D1872" s="130" t="str">
        <f t="shared" si="97"/>
        <v>N/T</v>
      </c>
      <c r="E1872" s="107" t="str">
        <f t="shared" si="96"/>
        <v/>
      </c>
      <c r="F1872" s="124"/>
      <c r="G1872" s="19"/>
      <c r="H1872" s="19"/>
      <c r="I1872" s="19"/>
      <c r="J1872" s="19"/>
      <c r="K1872" s="233"/>
    </row>
    <row r="1873" spans="1:11" ht="12" customHeight="1">
      <c r="A1873" s="219" t="n" cm="1">
        <f t="array" ref="A1873">IFERROR(INDEX('03.Muestra'!$B$8:$B$42,SMALL(IF("Página Web"='03.Muestra'!$D$8:$D$42,ROW('03.Muestra'!$B$8:$B$42)-MIN(ROW('03.Muestra'!$D$8:$D$42))+1,""),ROW()-1842)),"")</f>
        <v>1.0</v>
      </c>
      <c r="B1873" s="114" t="str" cm="1">
        <f t="array" ref="B1873">IFERROR(INDEX('03.Muestra'!$C$8:$C$42,SMALL(IF("Página Web"='03.Muestra'!$D$8:$D$42,ROW('03.Muestra'!$C$8:$C$42)-MIN(ROW('03.Muestra'!$D$8:$D$42))+1,""),ROW()-1842)),"")</f>
        <v>Home - PortCastelló</v>
      </c>
      <c r="C1873" s="114" t="str" cm="1">
        <f t="array" ref="C1873">IFERROR(INDEX('03.Muestra'!$F$8:$F$42,SMALL(IF("Página Web"='03.Muestra'!$D$8:$D$42,ROW('03.Muestra'!$F$8:$F$42)-MIN(ROW('03.Muestra'!$D$8:$D$42))+1,""),ROW()-1842)),"")</f>
        <v>https://www.portcastello.com/</v>
      </c>
      <c r="D1873" s="130" t="str">
        <f t="shared" si="97"/>
        <v>N/T</v>
      </c>
      <c r="E1873" s="107" t="str">
        <f t="shared" si="96"/>
        <v/>
      </c>
      <c r="F1873" s="124"/>
      <c r="G1873" s="19"/>
      <c r="H1873" s="19"/>
      <c r="I1873" s="19"/>
      <c r="J1873" s="19"/>
      <c r="K1873" s="233"/>
    </row>
    <row r="1874" spans="1:11" ht="12" customHeight="1">
      <c r="A1874" s="219" t="n" cm="1">
        <f t="array" ref="A1874">IFERROR(INDEX('03.Muestra'!$B$8:$B$42,SMALL(IF("Página Web"='03.Muestra'!$D$8:$D$42,ROW('03.Muestra'!$B$8:$B$42)-MIN(ROW('03.Muestra'!$D$8:$D$42))+1,""),ROW()-1842)),"")</f>
        <v>1.0</v>
      </c>
      <c r="B1874" s="114" t="str" cm="1">
        <f t="array" ref="B1874">IFERROR(INDEX('03.Muestra'!$C$8:$C$42,SMALL(IF("Página Web"='03.Muestra'!$D$8:$D$42,ROW('03.Muestra'!$C$8:$C$42)-MIN(ROW('03.Muestra'!$D$8:$D$42))+1,""),ROW()-1842)),"")</f>
        <v>Home - PortCastelló</v>
      </c>
      <c r="C1874" s="114" t="str" cm="1">
        <f t="array" ref="C1874">IFERROR(INDEX('03.Muestra'!$F$8:$F$42,SMALL(IF("Página Web"='03.Muestra'!$D$8:$D$42,ROW('03.Muestra'!$F$8:$F$42)-MIN(ROW('03.Muestra'!$D$8:$D$42))+1,""),ROW()-1842)),"")</f>
        <v>https://www.portcastello.com/</v>
      </c>
      <c r="D1874" s="130" t="str">
        <f t="shared" si="97"/>
        <v>N/T</v>
      </c>
      <c r="E1874" s="107" t="str">
        <f t="shared" si="96"/>
        <v/>
      </c>
      <c r="F1874" s="124"/>
      <c r="G1874" s="19"/>
      <c r="H1874" s="19"/>
      <c r="I1874" s="19"/>
      <c r="J1874" s="19"/>
      <c r="K1874" s="233"/>
    </row>
    <row r="1875" spans="1:11" ht="12" customHeight="1">
      <c r="A1875" s="219" t="n" cm="1">
        <f t="array" ref="A1875">IFERROR(INDEX('03.Muestra'!$B$8:$B$42,SMALL(IF("Página Web"='03.Muestra'!$D$8:$D$42,ROW('03.Muestra'!$B$8:$B$42)-MIN(ROW('03.Muestra'!$D$8:$D$42))+1,""),ROW()-1842)),"")</f>
        <v>1.0</v>
      </c>
      <c r="B1875" s="114" t="str" cm="1">
        <f t="array" ref="B1875">IFERROR(INDEX('03.Muestra'!$C$8:$C$42,SMALL(IF("Página Web"='03.Muestra'!$D$8:$D$42,ROW('03.Muestra'!$C$8:$C$42)-MIN(ROW('03.Muestra'!$D$8:$D$42))+1,""),ROW()-1842)),"")</f>
        <v>Home - PortCastelló</v>
      </c>
      <c r="C1875" s="114" t="str" cm="1">
        <f t="array" ref="C1875">IFERROR(INDEX('03.Muestra'!$F$8:$F$42,SMALL(IF("Página Web"='03.Muestra'!$D$8:$D$42,ROW('03.Muestra'!$F$8:$F$42)-MIN(ROW('03.Muestra'!$D$8:$D$42))+1,""),ROW()-1842)),"")</f>
        <v>https://www.portcastello.com/</v>
      </c>
      <c r="D1875" s="130" t="str">
        <f t="shared" si="97"/>
        <v>N/T</v>
      </c>
      <c r="E1875" s="107" t="str">
        <f t="shared" si="96"/>
        <v/>
      </c>
      <c r="F1875" s="124"/>
      <c r="G1875" s="19"/>
      <c r="H1875" s="19"/>
      <c r="I1875" s="19"/>
      <c r="J1875" s="19"/>
      <c r="K1875" s="233"/>
    </row>
    <row r="1876" spans="1:11" ht="12" customHeight="1">
      <c r="A1876" s="219" t="str" cm="1">
        <f t="array" ref="A1876">IFERROR(INDEX('03.Muestra'!$B$8:$B$42,SMALL(IF("Página Web"='03.Muestra'!$D$8:$D$42,ROW('03.Muestra'!$B$8:$B$42)-MIN(ROW('03.Muestra'!$D$8:$D$42))+1,""),ROW()-1842)),"")</f>
        <v/>
      </c>
      <c r="B1876" s="114" t="str" cm="1">
        <f t="array" ref="B1876">IFERROR(INDEX('03.Muestra'!$C$8:$C$42,SMALL(IF("Página Web"='03.Muestra'!$D$8:$D$42,ROW('03.Muestra'!$C$8:$C$42)-MIN(ROW('03.Muestra'!$D$8:$D$42))+1,""),ROW()-1842)),"")</f>
        <v/>
      </c>
      <c r="C1876" s="114" t="str" cm="1">
        <f t="array" ref="C1876">IFERROR(INDEX('03.Muestra'!$F$8:$F$42,SMALL(IF("Página Web"='03.Muestra'!$D$8:$D$42,ROW('03.Muestra'!$F$8:$F$42)-MIN(ROW('03.Muestra'!$D$8:$D$42))+1,""),ROW()-1842)),"")</f>
        <v/>
      </c>
      <c r="D1876" s="130" t="str">
        <f t="shared" si="97"/>
        <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268</v>
      </c>
      <c r="B1880" s="24" t="s">
        <v>90</v>
      </c>
      <c r="C1880" s="25" t="s">
        <v>468</v>
      </c>
      <c r="D1880" s="26" t="s">
        <v>32</v>
      </c>
      <c r="E1880" s="123"/>
      <c r="K1880" s="233"/>
    </row>
    <row r="1881" spans="1:11" ht="12" customHeight="1">
      <c r="A1881" s="219" t="n" cm="1">
        <f t="array" ref="A1881">IFERROR(INDEX('03.Muestra'!$B$8:$B$42,SMALL(IF("Página Web"='03.Muestra'!$D$8:$D$42,ROW('03.Muestra'!$B$8:$B$42)-MIN(ROW('03.Muestra'!$D$8:$D$42))+1,""),ROW()-1880)),"")</f>
        <v>1.0</v>
      </c>
      <c r="B1881" s="114" t="str" cm="1">
        <f t="array" ref="B1881">IFERROR(INDEX('03.Muestra'!$C$8:$C$42,SMALL(IF("Página Web"='03.Muestra'!$D$8:$D$42,ROW('03.Muestra'!$C$8:$C$42)-MIN(ROW('03.Muestra'!$D$8:$D$42))+1,""),ROW()-1880)),"")</f>
        <v>Home - PortCastelló</v>
      </c>
      <c r="C1881" s="114" t="str" cm="1">
        <f t="array" ref="C1881">IFERROR(INDEX('03.Muestra'!$F$8:$F$42,SMALL(IF("Página Web"='03.Muestra'!$D$8:$D$42,ROW('03.Muestra'!$F$8:$F$42)-MIN(ROW('03.Muestra'!$D$8:$D$42))+1,""),ROW()-1880)),"")</f>
        <v>https://www.portcastello.com/</v>
      </c>
      <c r="D1881" s="130" t="str">
        <f>IF(AND(B1881&lt;&gt;"",C1881&lt;&gt;""),"N/T","")</f>
        <v>N/T</v>
      </c>
      <c r="E1881" s="107" t="str">
        <f t="shared" ref="E1881:E1915" si="98">IF(D1881&lt;&gt;"",IF(AND(B1881&lt;&gt;"",C1881&lt;&gt;""),"","ERR"),"")</f>
        <v/>
      </c>
      <c r="F1881" s="115" t="s">
        <v>33</v>
      </c>
      <c r="G1881" s="116" t="s">
        <v>37</v>
      </c>
      <c r="H1881" s="117" t="s">
        <v>35</v>
      </c>
      <c r="I1881" s="118" t="s">
        <v>28</v>
      </c>
      <c r="J1881" s="119" t="s">
        <v>26</v>
      </c>
      <c r="K1881" s="226" t="s">
        <v>474</v>
      </c>
    </row>
    <row r="1882" spans="1:11" ht="12" customHeight="1">
      <c r="A1882" s="219" t="n" cm="1">
        <f t="array" ref="A1882">IFERROR(INDEX('03.Muestra'!$B$8:$B$42,SMALL(IF("Página Web"='03.Muestra'!$D$8:$D$42,ROW('03.Muestra'!$B$8:$B$42)-MIN(ROW('03.Muestra'!$D$8:$D$42))+1,""),ROW()-1880)),"")</f>
        <v>1.0</v>
      </c>
      <c r="B1882" s="114" t="str" cm="1">
        <f t="array" ref="B1882">IFERROR(INDEX('03.Muestra'!$C$8:$C$42,SMALL(IF("Página Web"='03.Muestra'!$D$8:$D$42,ROW('03.Muestra'!$C$8:$C$42)-MIN(ROW('03.Muestra'!$D$8:$D$42))+1,""),ROW()-1880)),"")</f>
        <v>Home - PortCastelló</v>
      </c>
      <c r="C1882" s="114" t="str" cm="1">
        <f t="array" ref="C1882">IFERROR(INDEX('03.Muestra'!$F$8:$F$42,SMALL(IF("Página Web"='03.Muestra'!$D$8:$D$42,ROW('03.Muestra'!$F$8:$F$42)-MIN(ROW('03.Muestra'!$D$8:$D$42))+1,""),ROW()-1880)),"")</f>
        <v>https://www.portcastello.com/</v>
      </c>
      <c r="D1882" s="130" t="str">
        <f t="shared" ref="D1882:D1915" si="99">IF(AND(B1882&lt;&gt;"",C1882&lt;&gt;""),"N/T","")</f>
        <v>N/T</v>
      </c>
      <c r="E1882" s="107" t="str">
        <f t="shared" si="98"/>
        <v/>
      </c>
      <c r="F1882" s="120" t="n">
        <f ca="1">COUNTIF($D1881:INDIRECT("$D" &amp;  SUM(ROW()-1,'03.Muestra'!$D$45)-1),F1881)</f>
        <v>33.0</v>
      </c>
      <c r="G1882" s="120" t="n">
        <f ca="1">COUNTIF($D1881:INDIRECT("$D" &amp;  SUM(ROW()-1,'03.Muestra'!$D$45)-1),G1881)</f>
        <v>0.0</v>
      </c>
      <c r="H1882" s="120" t="n">
        <f ca="1">COUNTIF($D1881:INDIRECT("$D" &amp;  SUM(ROW()-1,'03.Muestra'!$D$45)-1),H1881)</f>
        <v>0.0</v>
      </c>
      <c r="I1882" s="120" t="n">
        <f ca="1">COUNTIF($D1881:INDIRECT("$D" &amp;  SUM(ROW()-1,'03.Muestra'!$D$45)-1),I1881)</f>
        <v>0.0</v>
      </c>
      <c r="J1882" s="120" t="n">
        <f ca="1">COUNTIF($D1881:INDIRECT("$D" &amp;  SUM(ROW()-1,'03.Muestra'!$D$45)-1),J1881)</f>
        <v>0.0</v>
      </c>
      <c r="K1882" s="227" t="n">
        <f ca="1">IF(COUNTIF('03.Muestra'!$D$8:$D$42,"Página Web")=0,0,COUNTBLANK($D1881:INDIRECT("$D" &amp;  SUM(ROW()-1,COUNTIF('03.Muestra'!$D$8:$D$42,"Página Web"))-1)))</f>
        <v>0.0</v>
      </c>
    </row>
    <row r="1883" spans="1:11" ht="12" customHeight="1">
      <c r="A1883" s="219" t="n" cm="1">
        <f t="array" ref="A1883">IFERROR(INDEX('03.Muestra'!$B$8:$B$42,SMALL(IF("Página Web"='03.Muestra'!$D$8:$D$42,ROW('03.Muestra'!$B$8:$B$42)-MIN(ROW('03.Muestra'!$D$8:$D$42))+1,""),ROW()-1880)),"")</f>
        <v>1.0</v>
      </c>
      <c r="B1883" s="114" t="str" cm="1">
        <f t="array" ref="B1883">IFERROR(INDEX('03.Muestra'!$C$8:$C$42,SMALL(IF("Página Web"='03.Muestra'!$D$8:$D$42,ROW('03.Muestra'!$C$8:$C$42)-MIN(ROW('03.Muestra'!$D$8:$D$42))+1,""),ROW()-1880)),"")</f>
        <v>Home - PortCastelló</v>
      </c>
      <c r="C1883" s="114" t="str" cm="1">
        <f t="array" ref="C1883">IFERROR(INDEX('03.Muestra'!$F$8:$F$42,SMALL(IF("Página Web"='03.Muestra'!$D$8:$D$42,ROW('03.Muestra'!$F$8:$F$42)-MIN(ROW('03.Muestra'!$D$8:$D$42))+1,""),ROW()-1880)),"")</f>
        <v>https://www.portcastello.com/</v>
      </c>
      <c r="D1883" s="130" t="str">
        <f t="shared" si="99"/>
        <v>N/T</v>
      </c>
      <c r="E1883" s="107" t="str">
        <f t="shared" si="98"/>
        <v/>
      </c>
      <c r="G1883" s="19"/>
      <c r="H1883" s="19"/>
      <c r="I1883" s="19"/>
      <c r="J1883" s="19"/>
      <c r="K1883" s="233"/>
    </row>
    <row r="1884" spans="1:11" ht="12" customHeight="1">
      <c r="A1884" s="219" t="n" cm="1">
        <f t="array" ref="A1884">IFERROR(INDEX('03.Muestra'!$B$8:$B$42,SMALL(IF("Página Web"='03.Muestra'!$D$8:$D$42,ROW('03.Muestra'!$B$8:$B$42)-MIN(ROW('03.Muestra'!$D$8:$D$42))+1,""),ROW()-1880)),"")</f>
        <v>1.0</v>
      </c>
      <c r="B1884" s="114" t="str" cm="1">
        <f t="array" ref="B1884">IFERROR(INDEX('03.Muestra'!$C$8:$C$42,SMALL(IF("Página Web"='03.Muestra'!$D$8:$D$42,ROW('03.Muestra'!$C$8:$C$42)-MIN(ROW('03.Muestra'!$D$8:$D$42))+1,""),ROW()-1880)),"")</f>
        <v>Home - PortCastelló</v>
      </c>
      <c r="C1884" s="114" t="str" cm="1">
        <f t="array" ref="C1884">IFERROR(INDEX('03.Muestra'!$F$8:$F$42,SMALL(IF("Página Web"='03.Muestra'!$D$8:$D$42,ROW('03.Muestra'!$F$8:$F$42)-MIN(ROW('03.Muestra'!$D$8:$D$42))+1,""),ROW()-1880)),"")</f>
        <v>https://www.portcastello.com/</v>
      </c>
      <c r="D1884" s="130" t="str">
        <f t="shared" si="99"/>
        <v>N/T</v>
      </c>
      <c r="E1884" s="107" t="str">
        <f t="shared" si="98"/>
        <v/>
      </c>
      <c r="G1884" s="19"/>
      <c r="H1884" s="19"/>
      <c r="I1884" s="19"/>
      <c r="J1884" s="19"/>
      <c r="K1884" s="233"/>
    </row>
    <row r="1885" spans="1:11" ht="12" customHeight="1">
      <c r="A1885" s="219" t="n" cm="1">
        <f t="array" ref="A1885">IFERROR(INDEX('03.Muestra'!$B$8:$B$42,SMALL(IF("Página Web"='03.Muestra'!$D$8:$D$42,ROW('03.Muestra'!$B$8:$B$42)-MIN(ROW('03.Muestra'!$D$8:$D$42))+1,""),ROW()-1880)),"")</f>
        <v>1.0</v>
      </c>
      <c r="B1885" s="114" t="str" cm="1">
        <f t="array" ref="B1885">IFERROR(INDEX('03.Muestra'!$C$8:$C$42,SMALL(IF("Página Web"='03.Muestra'!$D$8:$D$42,ROW('03.Muestra'!$C$8:$C$42)-MIN(ROW('03.Muestra'!$D$8:$D$42))+1,""),ROW()-1880)),"")</f>
        <v>Home - PortCastelló</v>
      </c>
      <c r="C1885" s="114" t="str" cm="1">
        <f t="array" ref="C1885">IFERROR(INDEX('03.Muestra'!$F$8:$F$42,SMALL(IF("Página Web"='03.Muestra'!$D$8:$D$42,ROW('03.Muestra'!$F$8:$F$42)-MIN(ROW('03.Muestra'!$D$8:$D$42))+1,""),ROW()-1880)),"")</f>
        <v>https://www.portcastello.com/</v>
      </c>
      <c r="D1885" s="130" t="str">
        <f t="shared" si="99"/>
        <v>N/T</v>
      </c>
      <c r="E1885" s="107" t="str">
        <f t="shared" si="98"/>
        <v/>
      </c>
      <c r="G1885" s="19"/>
      <c r="H1885" s="19"/>
      <c r="I1885" s="19"/>
      <c r="J1885" s="19"/>
      <c r="K1885" s="233"/>
    </row>
    <row r="1886" spans="1:11" ht="12" customHeight="1">
      <c r="A1886" s="219" t="n" cm="1">
        <f t="array" ref="A1886">IFERROR(INDEX('03.Muestra'!$B$8:$B$42,SMALL(IF("Página Web"='03.Muestra'!$D$8:$D$42,ROW('03.Muestra'!$B$8:$B$42)-MIN(ROW('03.Muestra'!$D$8:$D$42))+1,""),ROW()-1880)),"")</f>
        <v>1.0</v>
      </c>
      <c r="B1886" s="114" t="str" cm="1">
        <f t="array" ref="B1886">IFERROR(INDEX('03.Muestra'!$C$8:$C$42,SMALL(IF("Página Web"='03.Muestra'!$D$8:$D$42,ROW('03.Muestra'!$C$8:$C$42)-MIN(ROW('03.Muestra'!$D$8:$D$42))+1,""),ROW()-1880)),"")</f>
        <v>Home - PortCastelló</v>
      </c>
      <c r="C1886" s="114" t="str" cm="1">
        <f t="array" ref="C1886">IFERROR(INDEX('03.Muestra'!$F$8:$F$42,SMALL(IF("Página Web"='03.Muestra'!$D$8:$D$42,ROW('03.Muestra'!$F$8:$F$42)-MIN(ROW('03.Muestra'!$D$8:$D$42))+1,""),ROW()-1880)),"")</f>
        <v>https://www.portcastello.com/</v>
      </c>
      <c r="D1886" s="130" t="str">
        <f t="shared" si="99"/>
        <v>N/T</v>
      </c>
      <c r="E1886" s="107" t="str">
        <f t="shared" si="98"/>
        <v/>
      </c>
      <c r="G1886" s="19"/>
      <c r="H1886" s="19"/>
      <c r="I1886" s="19"/>
      <c r="J1886" s="19"/>
      <c r="K1886" s="233"/>
    </row>
    <row r="1887" spans="1:11" ht="12" customHeight="1">
      <c r="A1887" s="219" t="n" cm="1">
        <f t="array" ref="A1887">IFERROR(INDEX('03.Muestra'!$B$8:$B$42,SMALL(IF("Página Web"='03.Muestra'!$D$8:$D$42,ROW('03.Muestra'!$B$8:$B$42)-MIN(ROW('03.Muestra'!$D$8:$D$42))+1,""),ROW()-1880)),"")</f>
        <v>1.0</v>
      </c>
      <c r="B1887" s="114" t="str" cm="1">
        <f t="array" ref="B1887">IFERROR(INDEX('03.Muestra'!$C$8:$C$42,SMALL(IF("Página Web"='03.Muestra'!$D$8:$D$42,ROW('03.Muestra'!$C$8:$C$42)-MIN(ROW('03.Muestra'!$D$8:$D$42))+1,""),ROW()-1880)),"")</f>
        <v>Home - PortCastelló</v>
      </c>
      <c r="C1887" s="114" t="str" cm="1">
        <f t="array" ref="C1887">IFERROR(INDEX('03.Muestra'!$F$8:$F$42,SMALL(IF("Página Web"='03.Muestra'!$D$8:$D$42,ROW('03.Muestra'!$F$8:$F$42)-MIN(ROW('03.Muestra'!$D$8:$D$42))+1,""),ROW()-1880)),"")</f>
        <v>https://www.portcastello.com/</v>
      </c>
      <c r="D1887" s="130" t="str">
        <f t="shared" si="99"/>
        <v>N/T</v>
      </c>
      <c r="E1887" s="107" t="str">
        <f t="shared" si="98"/>
        <v/>
      </c>
      <c r="F1887" s="19"/>
      <c r="G1887" s="19"/>
      <c r="H1887" s="19"/>
      <c r="I1887" s="19"/>
      <c r="J1887" s="19"/>
      <c r="K1887" s="233"/>
    </row>
    <row r="1888" spans="1:11" ht="12" customHeight="1">
      <c r="A1888" s="219" t="n" cm="1">
        <f t="array" ref="A1888">IFERROR(INDEX('03.Muestra'!$B$8:$B$42,SMALL(IF("Página Web"='03.Muestra'!$D$8:$D$42,ROW('03.Muestra'!$B$8:$B$42)-MIN(ROW('03.Muestra'!$D$8:$D$42))+1,""),ROW()-1880)),"")</f>
        <v>1.0</v>
      </c>
      <c r="B1888" s="114" t="str" cm="1">
        <f t="array" ref="B1888">IFERROR(INDEX('03.Muestra'!$C$8:$C$42,SMALL(IF("Página Web"='03.Muestra'!$D$8:$D$42,ROW('03.Muestra'!$C$8:$C$42)-MIN(ROW('03.Muestra'!$D$8:$D$42))+1,""),ROW()-1880)),"")</f>
        <v>Home - PortCastelló</v>
      </c>
      <c r="C1888" s="114" t="str" cm="1">
        <f t="array" ref="C1888">IFERROR(INDEX('03.Muestra'!$F$8:$F$42,SMALL(IF("Página Web"='03.Muestra'!$D$8:$D$42,ROW('03.Muestra'!$F$8:$F$42)-MIN(ROW('03.Muestra'!$D$8:$D$42))+1,""),ROW()-1880)),"")</f>
        <v>https://www.portcastello.com/</v>
      </c>
      <c r="D1888" s="130" t="str">
        <f t="shared" si="99"/>
        <v>N/T</v>
      </c>
      <c r="E1888" s="107" t="str">
        <f t="shared" si="98"/>
        <v/>
      </c>
      <c r="F1888" s="19"/>
      <c r="G1888" s="19"/>
      <c r="H1888" s="19"/>
      <c r="I1888" s="19"/>
      <c r="J1888" s="19"/>
      <c r="K1888" s="233"/>
    </row>
    <row r="1889" spans="1:11" ht="12" customHeight="1">
      <c r="A1889" s="219" t="n" cm="1">
        <f t="array" ref="A1889">IFERROR(INDEX('03.Muestra'!$B$8:$B$42,SMALL(IF("Página Web"='03.Muestra'!$D$8:$D$42,ROW('03.Muestra'!$B$8:$B$42)-MIN(ROW('03.Muestra'!$D$8:$D$42))+1,""),ROW()-1880)),"")</f>
        <v>1.0</v>
      </c>
      <c r="B1889" s="114" t="str" cm="1">
        <f t="array" ref="B1889">IFERROR(INDEX('03.Muestra'!$C$8:$C$42,SMALL(IF("Página Web"='03.Muestra'!$D$8:$D$42,ROW('03.Muestra'!$C$8:$C$42)-MIN(ROW('03.Muestra'!$D$8:$D$42))+1,""),ROW()-1880)),"")</f>
        <v>Home - PortCastelló</v>
      </c>
      <c r="C1889" s="114" t="str" cm="1">
        <f t="array" ref="C1889">IFERROR(INDEX('03.Muestra'!$F$8:$F$42,SMALL(IF("Página Web"='03.Muestra'!$D$8:$D$42,ROW('03.Muestra'!$F$8:$F$42)-MIN(ROW('03.Muestra'!$D$8:$D$42))+1,""),ROW()-1880)),"")</f>
        <v>https://www.portcastello.com/</v>
      </c>
      <c r="D1889" s="130" t="str">
        <f t="shared" si="99"/>
        <v>N/T</v>
      </c>
      <c r="E1889" s="107" t="str">
        <f t="shared" si="98"/>
        <v/>
      </c>
      <c r="F1889" s="19"/>
      <c r="G1889" s="19"/>
      <c r="H1889" s="19"/>
      <c r="I1889" s="19"/>
      <c r="J1889" s="19"/>
      <c r="K1889" s="233"/>
    </row>
    <row r="1890" spans="1:11" ht="12" customHeight="1">
      <c r="A1890" s="219" t="n"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Home - PortCastelló</v>
      </c>
      <c r="C1890" s="114" t="str" cm="1">
        <f t="array" ref="C1890">IFERROR(INDEX('03.Muestra'!$F$8:$F$42,SMALL(IF("Página Web"='03.Muestra'!$D$8:$D$42,ROW('03.Muestra'!$F$8:$F$42)-MIN(ROW('03.Muestra'!$D$8:$D$42))+1,""),ROW()-1880)),"")</f>
        <v>https://www.portcastello.com/</v>
      </c>
      <c r="D1890" s="130" t="str">
        <f t="shared" si="99"/>
        <v>N/T</v>
      </c>
      <c r="E1890" s="107" t="str">
        <f t="shared" si="98"/>
        <v/>
      </c>
      <c r="F1890" s="19"/>
      <c r="G1890" s="19"/>
      <c r="H1890" s="19"/>
      <c r="I1890" s="19"/>
      <c r="J1890" s="19"/>
      <c r="K1890" s="233"/>
    </row>
    <row r="1891" spans="1:11" ht="12" customHeight="1">
      <c r="A1891" s="219" t="n" cm="1">
        <f t="array" ref="A1891">IFERROR(INDEX('03.Muestra'!$B$8:$B$42,SMALL(IF("Página Web"='03.Muestra'!$D$8:$D$42,ROW('03.Muestra'!$B$8:$B$42)-MIN(ROW('03.Muestra'!$D$8:$D$42))+1,""),ROW()-1880)),"")</f>
        <v>1.0</v>
      </c>
      <c r="B1891" s="114" t="str" cm="1">
        <f t="array" ref="B1891">IFERROR(INDEX('03.Muestra'!$C$8:$C$42,SMALL(IF("Página Web"='03.Muestra'!$D$8:$D$42,ROW('03.Muestra'!$C$8:$C$42)-MIN(ROW('03.Muestra'!$D$8:$D$42))+1,""),ROW()-1880)),"")</f>
        <v>Home - PortCastelló</v>
      </c>
      <c r="C1891" s="114" t="str" cm="1">
        <f t="array" ref="C1891">IFERROR(INDEX('03.Muestra'!$F$8:$F$42,SMALL(IF("Página Web"='03.Muestra'!$D$8:$D$42,ROW('03.Muestra'!$F$8:$F$42)-MIN(ROW('03.Muestra'!$D$8:$D$42))+1,""),ROW()-1880)),"")</f>
        <v>https://www.portcastello.com/</v>
      </c>
      <c r="D1891" s="130" t="str">
        <f t="shared" si="99"/>
        <v>N/T</v>
      </c>
      <c r="E1891" s="107" t="str">
        <f t="shared" si="98"/>
        <v/>
      </c>
      <c r="F1891" s="19"/>
      <c r="G1891" s="19"/>
      <c r="H1891" s="19"/>
      <c r="I1891" s="19"/>
      <c r="J1891" s="19"/>
      <c r="K1891" s="233"/>
    </row>
    <row r="1892" spans="1:11" ht="12" customHeight="1">
      <c r="A1892" s="219" t="n" cm="1">
        <f t="array" ref="A1892">IFERROR(INDEX('03.Muestra'!$B$8:$B$42,SMALL(IF("Página Web"='03.Muestra'!$D$8:$D$42,ROW('03.Muestra'!$B$8:$B$42)-MIN(ROW('03.Muestra'!$D$8:$D$42))+1,""),ROW()-1880)),"")</f>
        <v>1.0</v>
      </c>
      <c r="B1892" s="114" t="str" cm="1">
        <f t="array" ref="B1892">IFERROR(INDEX('03.Muestra'!$C$8:$C$42,SMALL(IF("Página Web"='03.Muestra'!$D$8:$D$42,ROW('03.Muestra'!$C$8:$C$42)-MIN(ROW('03.Muestra'!$D$8:$D$42))+1,""),ROW()-1880)),"")</f>
        <v>Home - PortCastelló</v>
      </c>
      <c r="C1892" s="114" t="str" cm="1">
        <f t="array" ref="C1892">IFERROR(INDEX('03.Muestra'!$F$8:$F$42,SMALL(IF("Página Web"='03.Muestra'!$D$8:$D$42,ROW('03.Muestra'!$F$8:$F$42)-MIN(ROW('03.Muestra'!$D$8:$D$42))+1,""),ROW()-1880)),"")</f>
        <v>https://www.portcastello.com/</v>
      </c>
      <c r="D1892" s="130" t="str">
        <f t="shared" si="99"/>
        <v>N/T</v>
      </c>
      <c r="E1892" s="107" t="str">
        <f t="shared" si="98"/>
        <v/>
      </c>
      <c r="F1892" s="19"/>
      <c r="G1892" s="19"/>
      <c r="H1892" s="19"/>
      <c r="I1892" s="19"/>
      <c r="J1892" s="19"/>
      <c r="K1892" s="233"/>
    </row>
    <row r="1893" spans="1:11" ht="12" customHeight="1">
      <c r="A1893" s="219" t="n" cm="1">
        <f t="array" ref="A1893">IFERROR(INDEX('03.Muestra'!$B$8:$B$42,SMALL(IF("Página Web"='03.Muestra'!$D$8:$D$42,ROW('03.Muestra'!$B$8:$B$42)-MIN(ROW('03.Muestra'!$D$8:$D$42))+1,""),ROW()-1880)),"")</f>
        <v>1.0</v>
      </c>
      <c r="B1893" s="114" t="str" cm="1">
        <f t="array" ref="B1893">IFERROR(INDEX('03.Muestra'!$C$8:$C$42,SMALL(IF("Página Web"='03.Muestra'!$D$8:$D$42,ROW('03.Muestra'!$C$8:$C$42)-MIN(ROW('03.Muestra'!$D$8:$D$42))+1,""),ROW()-1880)),"")</f>
        <v>Home - PortCastelló</v>
      </c>
      <c r="C1893" s="114" t="str" cm="1">
        <f t="array" ref="C1893">IFERROR(INDEX('03.Muestra'!$F$8:$F$42,SMALL(IF("Página Web"='03.Muestra'!$D$8:$D$42,ROW('03.Muestra'!$F$8:$F$42)-MIN(ROW('03.Muestra'!$D$8:$D$42))+1,""),ROW()-1880)),"")</f>
        <v>https://www.portcastello.com/</v>
      </c>
      <c r="D1893" s="130" t="str">
        <f t="shared" si="99"/>
        <v>N/T</v>
      </c>
      <c r="E1893" s="107" t="str">
        <f t="shared" si="98"/>
        <v/>
      </c>
      <c r="F1893" s="19"/>
      <c r="G1893" s="19"/>
      <c r="H1893" s="19"/>
      <c r="I1893" s="19"/>
      <c r="J1893" s="19"/>
      <c r="K1893" s="233"/>
    </row>
    <row r="1894" spans="1:11" ht="12" customHeight="1">
      <c r="A1894" s="219" t="n" cm="1">
        <f t="array" ref="A1894">IFERROR(INDEX('03.Muestra'!$B$8:$B$42,SMALL(IF("Página Web"='03.Muestra'!$D$8:$D$42,ROW('03.Muestra'!$B$8:$B$42)-MIN(ROW('03.Muestra'!$D$8:$D$42))+1,""),ROW()-1880)),"")</f>
        <v>1.0</v>
      </c>
      <c r="B1894" s="114" t="str" cm="1">
        <f t="array" ref="B1894">IFERROR(INDEX('03.Muestra'!$C$8:$C$42,SMALL(IF("Página Web"='03.Muestra'!$D$8:$D$42,ROW('03.Muestra'!$C$8:$C$42)-MIN(ROW('03.Muestra'!$D$8:$D$42))+1,""),ROW()-1880)),"")</f>
        <v>Home - PortCastelló</v>
      </c>
      <c r="C1894" s="114" t="str" cm="1">
        <f t="array" ref="C1894">IFERROR(INDEX('03.Muestra'!$F$8:$F$42,SMALL(IF("Página Web"='03.Muestra'!$D$8:$D$42,ROW('03.Muestra'!$F$8:$F$42)-MIN(ROW('03.Muestra'!$D$8:$D$42))+1,""),ROW()-1880)),"")</f>
        <v>https://www.portcastello.com/</v>
      </c>
      <c r="D1894" s="130" t="str">
        <f t="shared" si="99"/>
        <v>N/T</v>
      </c>
      <c r="E1894" s="107" t="str">
        <f t="shared" si="98"/>
        <v/>
      </c>
      <c r="F1894" s="19"/>
      <c r="G1894" s="19"/>
      <c r="H1894" s="19"/>
      <c r="I1894" s="19"/>
      <c r="J1894" s="19"/>
      <c r="K1894" s="233"/>
    </row>
    <row r="1895" spans="1:11" ht="12" customHeight="1">
      <c r="A1895" s="219" t="n" cm="1">
        <f t="array" ref="A1895">IFERROR(INDEX('03.Muestra'!$B$8:$B$42,SMALL(IF("Página Web"='03.Muestra'!$D$8:$D$42,ROW('03.Muestra'!$B$8:$B$42)-MIN(ROW('03.Muestra'!$D$8:$D$42))+1,""),ROW()-1880)),"")</f>
        <v>1.0</v>
      </c>
      <c r="B1895" s="114" t="str" cm="1">
        <f t="array" ref="B1895">IFERROR(INDEX('03.Muestra'!$C$8:$C$42,SMALL(IF("Página Web"='03.Muestra'!$D$8:$D$42,ROW('03.Muestra'!$C$8:$C$42)-MIN(ROW('03.Muestra'!$D$8:$D$42))+1,""),ROW()-1880)),"")</f>
        <v>Home - PortCastelló</v>
      </c>
      <c r="C1895" s="114" t="str" cm="1">
        <f t="array" ref="C1895">IFERROR(INDEX('03.Muestra'!$F$8:$F$42,SMALL(IF("Página Web"='03.Muestra'!$D$8:$D$42,ROW('03.Muestra'!$F$8:$F$42)-MIN(ROW('03.Muestra'!$D$8:$D$42))+1,""),ROW()-1880)),"")</f>
        <v>https://www.portcastello.com/</v>
      </c>
      <c r="D1895" s="130" t="str">
        <f t="shared" si="99"/>
        <v>N/T</v>
      </c>
      <c r="E1895" s="107" t="str">
        <f t="shared" si="98"/>
        <v/>
      </c>
      <c r="F1895" s="19"/>
      <c r="G1895" s="19"/>
      <c r="H1895" s="19"/>
      <c r="I1895" s="19"/>
      <c r="J1895" s="19"/>
      <c r="K1895" s="233"/>
    </row>
    <row r="1896" spans="1:11" ht="12" customHeight="1">
      <c r="A1896" s="219" t="n" cm="1">
        <f t="array" ref="A1896">IFERROR(INDEX('03.Muestra'!$B$8:$B$42,SMALL(IF("Página Web"='03.Muestra'!$D$8:$D$42,ROW('03.Muestra'!$B$8:$B$42)-MIN(ROW('03.Muestra'!$D$8:$D$42))+1,""),ROW()-1880)),"")</f>
        <v>1.0</v>
      </c>
      <c r="B1896" s="114" t="str" cm="1">
        <f t="array" ref="B1896">IFERROR(INDEX('03.Muestra'!$C$8:$C$42,SMALL(IF("Página Web"='03.Muestra'!$D$8:$D$42,ROW('03.Muestra'!$C$8:$C$42)-MIN(ROW('03.Muestra'!$D$8:$D$42))+1,""),ROW()-1880)),"")</f>
        <v>Home - PortCastelló</v>
      </c>
      <c r="C1896" s="114" t="str" cm="1">
        <f t="array" ref="C1896">IFERROR(INDEX('03.Muestra'!$F$8:$F$42,SMALL(IF("Página Web"='03.Muestra'!$D$8:$D$42,ROW('03.Muestra'!$F$8:$F$42)-MIN(ROW('03.Muestra'!$D$8:$D$42))+1,""),ROW()-1880)),"")</f>
        <v>https://www.portcastello.com/</v>
      </c>
      <c r="D1896" s="130" t="str">
        <f t="shared" si="99"/>
        <v>N/T</v>
      </c>
      <c r="E1896" s="107" t="str">
        <f t="shared" si="98"/>
        <v/>
      </c>
      <c r="F1896" s="19"/>
      <c r="G1896" s="19"/>
      <c r="H1896" s="19"/>
      <c r="I1896" s="19"/>
      <c r="J1896" s="19"/>
      <c r="K1896" s="233"/>
    </row>
    <row r="1897" spans="1:11" ht="12" customHeight="1">
      <c r="A1897" s="219" t="n" cm="1">
        <f t="array" ref="A1897">IFERROR(INDEX('03.Muestra'!$B$8:$B$42,SMALL(IF("Página Web"='03.Muestra'!$D$8:$D$42,ROW('03.Muestra'!$B$8:$B$42)-MIN(ROW('03.Muestra'!$D$8:$D$42))+1,""),ROW()-1880)),"")</f>
        <v>1.0</v>
      </c>
      <c r="B1897" s="114" t="str" cm="1">
        <f t="array" ref="B1897">IFERROR(INDEX('03.Muestra'!$C$8:$C$42,SMALL(IF("Página Web"='03.Muestra'!$D$8:$D$42,ROW('03.Muestra'!$C$8:$C$42)-MIN(ROW('03.Muestra'!$D$8:$D$42))+1,""),ROW()-1880)),"")</f>
        <v>Home - PortCastelló</v>
      </c>
      <c r="C1897" s="114" t="str" cm="1">
        <f t="array" ref="C1897">IFERROR(INDEX('03.Muestra'!$F$8:$F$42,SMALL(IF("Página Web"='03.Muestra'!$D$8:$D$42,ROW('03.Muestra'!$F$8:$F$42)-MIN(ROW('03.Muestra'!$D$8:$D$42))+1,""),ROW()-1880)),"")</f>
        <v>https://www.portcastello.com/</v>
      </c>
      <c r="D1897" s="130" t="str">
        <f t="shared" si="99"/>
        <v>N/T</v>
      </c>
      <c r="E1897" s="107" t="str">
        <f t="shared" si="98"/>
        <v/>
      </c>
      <c r="F1897" s="19"/>
      <c r="G1897" s="19"/>
      <c r="H1897" s="19"/>
      <c r="I1897" s="19"/>
      <c r="J1897" s="19"/>
      <c r="K1897" s="233"/>
    </row>
    <row r="1898" spans="1:11" ht="12" customHeight="1">
      <c r="A1898" s="219" t="n" cm="1">
        <f t="array" ref="A1898">IFERROR(INDEX('03.Muestra'!$B$8:$B$42,SMALL(IF("Página Web"='03.Muestra'!$D$8:$D$42,ROW('03.Muestra'!$B$8:$B$42)-MIN(ROW('03.Muestra'!$D$8:$D$42))+1,""),ROW()-1880)),"")</f>
        <v>1.0</v>
      </c>
      <c r="B1898" s="114" t="str" cm="1">
        <f t="array" ref="B1898">IFERROR(INDEX('03.Muestra'!$C$8:$C$42,SMALL(IF("Página Web"='03.Muestra'!$D$8:$D$42,ROW('03.Muestra'!$C$8:$C$42)-MIN(ROW('03.Muestra'!$D$8:$D$42))+1,""),ROW()-1880)),"")</f>
        <v>Home - PortCastelló</v>
      </c>
      <c r="C1898" s="114" t="str" cm="1">
        <f t="array" ref="C1898">IFERROR(INDEX('03.Muestra'!$F$8:$F$42,SMALL(IF("Página Web"='03.Muestra'!$D$8:$D$42,ROW('03.Muestra'!$F$8:$F$42)-MIN(ROW('03.Muestra'!$D$8:$D$42))+1,""),ROW()-1880)),"")</f>
        <v>https://www.portcastello.com/</v>
      </c>
      <c r="D1898" s="130" t="str">
        <f t="shared" si="99"/>
        <v>N/T</v>
      </c>
      <c r="E1898" s="107" t="str">
        <f t="shared" si="98"/>
        <v/>
      </c>
      <c r="F1898" s="19"/>
      <c r="G1898" s="19"/>
      <c r="H1898" s="19"/>
      <c r="I1898" s="19"/>
      <c r="J1898" s="19"/>
      <c r="K1898" s="233"/>
    </row>
    <row r="1899" spans="1:11" ht="12" customHeight="1">
      <c r="A1899" s="219" t="n" cm="1">
        <f t="array" ref="A1899">IFERROR(INDEX('03.Muestra'!$B$8:$B$42,SMALL(IF("Página Web"='03.Muestra'!$D$8:$D$42,ROW('03.Muestra'!$B$8:$B$42)-MIN(ROW('03.Muestra'!$D$8:$D$42))+1,""),ROW()-1880)),"")</f>
        <v>1.0</v>
      </c>
      <c r="B1899" s="114" t="str" cm="1">
        <f t="array" ref="B1899">IFERROR(INDEX('03.Muestra'!$C$8:$C$42,SMALL(IF("Página Web"='03.Muestra'!$D$8:$D$42,ROW('03.Muestra'!$C$8:$C$42)-MIN(ROW('03.Muestra'!$D$8:$D$42))+1,""),ROW()-1880)),"")</f>
        <v>Home - PortCastelló</v>
      </c>
      <c r="C1899" s="114" t="str" cm="1">
        <f t="array" ref="C1899">IFERROR(INDEX('03.Muestra'!$F$8:$F$42,SMALL(IF("Página Web"='03.Muestra'!$D$8:$D$42,ROW('03.Muestra'!$F$8:$F$42)-MIN(ROW('03.Muestra'!$D$8:$D$42))+1,""),ROW()-1880)),"")</f>
        <v>https://www.portcastello.com/</v>
      </c>
      <c r="D1899" s="130" t="str">
        <f t="shared" si="99"/>
        <v>N/T</v>
      </c>
      <c r="E1899" s="107" t="str">
        <f t="shared" si="98"/>
        <v/>
      </c>
      <c r="F1899" s="19"/>
      <c r="G1899" s="19"/>
      <c r="H1899" s="19"/>
      <c r="I1899" s="19"/>
      <c r="J1899" s="19"/>
      <c r="K1899" s="233"/>
    </row>
    <row r="1900" spans="1:11" ht="12" customHeight="1">
      <c r="A1900" s="219" t="n" cm="1">
        <f t="array" ref="A1900">IFERROR(INDEX('03.Muestra'!$B$8:$B$42,SMALL(IF("Página Web"='03.Muestra'!$D$8:$D$42,ROW('03.Muestra'!$B$8:$B$42)-MIN(ROW('03.Muestra'!$D$8:$D$42))+1,""),ROW()-1880)),"")</f>
        <v>1.0</v>
      </c>
      <c r="B1900" s="114" t="str" cm="1">
        <f t="array" ref="B1900">IFERROR(INDEX('03.Muestra'!$C$8:$C$42,SMALL(IF("Página Web"='03.Muestra'!$D$8:$D$42,ROW('03.Muestra'!$C$8:$C$42)-MIN(ROW('03.Muestra'!$D$8:$D$42))+1,""),ROW()-1880)),"")</f>
        <v>Home - PortCastelló</v>
      </c>
      <c r="C1900" s="114" t="str" cm="1">
        <f t="array" ref="C1900">IFERROR(INDEX('03.Muestra'!$F$8:$F$42,SMALL(IF("Página Web"='03.Muestra'!$D$8:$D$42,ROW('03.Muestra'!$F$8:$F$42)-MIN(ROW('03.Muestra'!$D$8:$D$42))+1,""),ROW()-1880)),"")</f>
        <v>https://www.portcastello.com/</v>
      </c>
      <c r="D1900" s="130" t="str">
        <f t="shared" si="99"/>
        <v>N/T</v>
      </c>
      <c r="E1900" s="107" t="str">
        <f t="shared" si="98"/>
        <v/>
      </c>
      <c r="F1900" s="19"/>
      <c r="G1900" s="19"/>
      <c r="H1900" s="19"/>
      <c r="I1900" s="19"/>
      <c r="J1900" s="19"/>
      <c r="K1900" s="233"/>
    </row>
    <row r="1901" spans="1:11" ht="12" customHeight="1">
      <c r="A1901" s="219" t="n" cm="1">
        <f t="array" ref="A1901">IFERROR(INDEX('03.Muestra'!$B$8:$B$42,SMALL(IF("Página Web"='03.Muestra'!$D$8:$D$42,ROW('03.Muestra'!$B$8:$B$42)-MIN(ROW('03.Muestra'!$D$8:$D$42))+1,""),ROW()-1880)),"")</f>
        <v>1.0</v>
      </c>
      <c r="B1901" s="114" t="str" cm="1">
        <f t="array" ref="B1901">IFERROR(INDEX('03.Muestra'!$C$8:$C$42,SMALL(IF("Página Web"='03.Muestra'!$D$8:$D$42,ROW('03.Muestra'!$C$8:$C$42)-MIN(ROW('03.Muestra'!$D$8:$D$42))+1,""),ROW()-1880)),"")</f>
        <v>Home - PortCastelló</v>
      </c>
      <c r="C1901" s="114" t="str" cm="1">
        <f t="array" ref="C1901">IFERROR(INDEX('03.Muestra'!$F$8:$F$42,SMALL(IF("Página Web"='03.Muestra'!$D$8:$D$42,ROW('03.Muestra'!$F$8:$F$42)-MIN(ROW('03.Muestra'!$D$8:$D$42))+1,""),ROW()-1880)),"")</f>
        <v>https://www.portcastello.com/</v>
      </c>
      <c r="D1901" s="130" t="str">
        <f t="shared" si="99"/>
        <v>N/T</v>
      </c>
      <c r="E1901" s="107" t="str">
        <f t="shared" si="98"/>
        <v/>
      </c>
      <c r="F1901" s="19"/>
      <c r="G1901" s="19"/>
      <c r="H1901" s="19"/>
      <c r="I1901" s="19"/>
      <c r="J1901" s="19"/>
      <c r="K1901" s="233"/>
    </row>
    <row r="1902" spans="1:11" ht="12" customHeight="1">
      <c r="A1902" s="219" t="n" cm="1">
        <f t="array" ref="A1902">IFERROR(INDEX('03.Muestra'!$B$8:$B$42,SMALL(IF("Página Web"='03.Muestra'!$D$8:$D$42,ROW('03.Muestra'!$B$8:$B$42)-MIN(ROW('03.Muestra'!$D$8:$D$42))+1,""),ROW()-1880)),"")</f>
        <v>1.0</v>
      </c>
      <c r="B1902" s="114" t="str" cm="1">
        <f t="array" ref="B1902">IFERROR(INDEX('03.Muestra'!$C$8:$C$42,SMALL(IF("Página Web"='03.Muestra'!$D$8:$D$42,ROW('03.Muestra'!$C$8:$C$42)-MIN(ROW('03.Muestra'!$D$8:$D$42))+1,""),ROW()-1880)),"")</f>
        <v>Home - PortCastelló</v>
      </c>
      <c r="C1902" s="114" t="str" cm="1">
        <f t="array" ref="C1902">IFERROR(INDEX('03.Muestra'!$F$8:$F$42,SMALL(IF("Página Web"='03.Muestra'!$D$8:$D$42,ROW('03.Muestra'!$F$8:$F$42)-MIN(ROW('03.Muestra'!$D$8:$D$42))+1,""),ROW()-1880)),"")</f>
        <v>https://www.portcastello.com/</v>
      </c>
      <c r="D1902" s="130" t="str">
        <f t="shared" si="99"/>
        <v>N/T</v>
      </c>
      <c r="E1902" s="107" t="str">
        <f t="shared" si="98"/>
        <v/>
      </c>
      <c r="F1902" s="19"/>
      <c r="G1902" s="19"/>
      <c r="H1902" s="19"/>
      <c r="I1902" s="19"/>
      <c r="J1902" s="19"/>
      <c r="K1902" s="233"/>
    </row>
    <row r="1903" spans="1:11" ht="12" customHeight="1">
      <c r="A1903" s="219" t="n" cm="1">
        <f t="array" ref="A1903">IFERROR(INDEX('03.Muestra'!$B$8:$B$42,SMALL(IF("Página Web"='03.Muestra'!$D$8:$D$42,ROW('03.Muestra'!$B$8:$B$42)-MIN(ROW('03.Muestra'!$D$8:$D$42))+1,""),ROW()-1880)),"")</f>
        <v>1.0</v>
      </c>
      <c r="B1903" s="114" t="str" cm="1">
        <f t="array" ref="B1903">IFERROR(INDEX('03.Muestra'!$C$8:$C$42,SMALL(IF("Página Web"='03.Muestra'!$D$8:$D$42,ROW('03.Muestra'!$C$8:$C$42)-MIN(ROW('03.Muestra'!$D$8:$D$42))+1,""),ROW()-1880)),"")</f>
        <v>Home - PortCastelló</v>
      </c>
      <c r="C1903" s="114" t="str" cm="1">
        <f t="array" ref="C1903">IFERROR(INDEX('03.Muestra'!$F$8:$F$42,SMALL(IF("Página Web"='03.Muestra'!$D$8:$D$42,ROW('03.Muestra'!$F$8:$F$42)-MIN(ROW('03.Muestra'!$D$8:$D$42))+1,""),ROW()-1880)),"")</f>
        <v>https://www.portcastello.com/</v>
      </c>
      <c r="D1903" s="130" t="str">
        <f t="shared" si="99"/>
        <v>N/T</v>
      </c>
      <c r="E1903" s="107" t="str">
        <f t="shared" si="98"/>
        <v/>
      </c>
      <c r="F1903" s="19"/>
      <c r="G1903" s="19"/>
      <c r="H1903" s="19"/>
      <c r="I1903" s="19"/>
      <c r="J1903" s="19"/>
      <c r="K1903" s="233"/>
    </row>
    <row r="1904" spans="1:11" ht="12" customHeight="1">
      <c r="A1904" s="219" t="n" cm="1">
        <f t="array" ref="A1904">IFERROR(INDEX('03.Muestra'!$B$8:$B$42,SMALL(IF("Página Web"='03.Muestra'!$D$8:$D$42,ROW('03.Muestra'!$B$8:$B$42)-MIN(ROW('03.Muestra'!$D$8:$D$42))+1,""),ROW()-1880)),"")</f>
        <v>1.0</v>
      </c>
      <c r="B1904" s="114" t="str" cm="1">
        <f t="array" ref="B1904">IFERROR(INDEX('03.Muestra'!$C$8:$C$42,SMALL(IF("Página Web"='03.Muestra'!$D$8:$D$42,ROW('03.Muestra'!$C$8:$C$42)-MIN(ROW('03.Muestra'!$D$8:$D$42))+1,""),ROW()-1880)),"")</f>
        <v>Home - PortCastelló</v>
      </c>
      <c r="C1904" s="114" t="str" cm="1">
        <f t="array" ref="C1904">IFERROR(INDEX('03.Muestra'!$F$8:$F$42,SMALL(IF("Página Web"='03.Muestra'!$D$8:$D$42,ROW('03.Muestra'!$F$8:$F$42)-MIN(ROW('03.Muestra'!$D$8:$D$42))+1,""),ROW()-1880)),"")</f>
        <v>https://www.portcastello.com/</v>
      </c>
      <c r="D1904" s="130" t="str">
        <f t="shared" si="99"/>
        <v>N/T</v>
      </c>
      <c r="E1904" s="107" t="str">
        <f t="shared" si="98"/>
        <v/>
      </c>
      <c r="F1904" s="19"/>
      <c r="G1904" s="19"/>
      <c r="H1904" s="19"/>
      <c r="I1904" s="19"/>
      <c r="J1904" s="19"/>
      <c r="K1904" s="233"/>
    </row>
    <row r="1905" spans="1:11" ht="12" customHeight="1">
      <c r="A1905" s="219" t="n" cm="1">
        <f t="array" ref="A1905">IFERROR(INDEX('03.Muestra'!$B$8:$B$42,SMALL(IF("Página Web"='03.Muestra'!$D$8:$D$42,ROW('03.Muestra'!$B$8:$B$42)-MIN(ROW('03.Muestra'!$D$8:$D$42))+1,""),ROW()-1880)),"")</f>
        <v>1.0</v>
      </c>
      <c r="B1905" s="114" t="str" cm="1">
        <f t="array" ref="B1905">IFERROR(INDEX('03.Muestra'!$C$8:$C$42,SMALL(IF("Página Web"='03.Muestra'!$D$8:$D$42,ROW('03.Muestra'!$C$8:$C$42)-MIN(ROW('03.Muestra'!$D$8:$D$42))+1,""),ROW()-1880)),"")</f>
        <v>Home - PortCastelló</v>
      </c>
      <c r="C1905" s="114" t="str" cm="1">
        <f t="array" ref="C1905">IFERROR(INDEX('03.Muestra'!$F$8:$F$42,SMALL(IF("Página Web"='03.Muestra'!$D$8:$D$42,ROW('03.Muestra'!$F$8:$F$42)-MIN(ROW('03.Muestra'!$D$8:$D$42))+1,""),ROW()-1880)),"")</f>
        <v>https://www.portcastello.com/</v>
      </c>
      <c r="D1905" s="130" t="str">
        <f t="shared" si="99"/>
        <v>N/T</v>
      </c>
      <c r="E1905" s="107" t="str">
        <f t="shared" si="98"/>
        <v/>
      </c>
      <c r="F1905" s="19"/>
      <c r="G1905" s="19"/>
      <c r="H1905" s="19"/>
      <c r="I1905" s="19"/>
      <c r="J1905" s="19"/>
      <c r="K1905" s="233"/>
    </row>
    <row r="1906" spans="1:11" ht="12" customHeight="1">
      <c r="A1906" s="219" t="n" cm="1">
        <f t="array" ref="A1906">IFERROR(INDEX('03.Muestra'!$B$8:$B$42,SMALL(IF("Página Web"='03.Muestra'!$D$8:$D$42,ROW('03.Muestra'!$B$8:$B$42)-MIN(ROW('03.Muestra'!$D$8:$D$42))+1,""),ROW()-1880)),"")</f>
        <v>1.0</v>
      </c>
      <c r="B1906" s="114" t="str" cm="1">
        <f t="array" ref="B1906">IFERROR(INDEX('03.Muestra'!$C$8:$C$42,SMALL(IF("Página Web"='03.Muestra'!$D$8:$D$42,ROW('03.Muestra'!$C$8:$C$42)-MIN(ROW('03.Muestra'!$D$8:$D$42))+1,""),ROW()-1880)),"")</f>
        <v>Home - PortCastelló</v>
      </c>
      <c r="C1906" s="114" t="str" cm="1">
        <f t="array" ref="C1906">IFERROR(INDEX('03.Muestra'!$F$8:$F$42,SMALL(IF("Página Web"='03.Muestra'!$D$8:$D$42,ROW('03.Muestra'!$F$8:$F$42)-MIN(ROW('03.Muestra'!$D$8:$D$42))+1,""),ROW()-1880)),"")</f>
        <v>https://www.portcastello.com/</v>
      </c>
      <c r="D1906" s="130" t="str">
        <f t="shared" si="99"/>
        <v>N/T</v>
      </c>
      <c r="E1906" s="107" t="str">
        <f t="shared" si="98"/>
        <v/>
      </c>
      <c r="F1906" s="19"/>
      <c r="G1906" s="19"/>
      <c r="H1906" s="19"/>
      <c r="I1906" s="19"/>
      <c r="J1906" s="19"/>
      <c r="K1906" s="233"/>
    </row>
    <row r="1907" spans="1:11" ht="12" customHeight="1">
      <c r="A1907" s="219" t="n" cm="1">
        <f t="array" ref="A1907">IFERROR(INDEX('03.Muestra'!$B$8:$B$42,SMALL(IF("Página Web"='03.Muestra'!$D$8:$D$42,ROW('03.Muestra'!$B$8:$B$42)-MIN(ROW('03.Muestra'!$D$8:$D$42))+1,""),ROW()-1880)),"")</f>
        <v>1.0</v>
      </c>
      <c r="B1907" s="114" t="str" cm="1">
        <f t="array" ref="B1907">IFERROR(INDEX('03.Muestra'!$C$8:$C$42,SMALL(IF("Página Web"='03.Muestra'!$D$8:$D$42,ROW('03.Muestra'!$C$8:$C$42)-MIN(ROW('03.Muestra'!$D$8:$D$42))+1,""),ROW()-1880)),"")</f>
        <v>Home - PortCastelló</v>
      </c>
      <c r="C1907" s="114" t="str" cm="1">
        <f t="array" ref="C1907">IFERROR(INDEX('03.Muestra'!$F$8:$F$42,SMALL(IF("Página Web"='03.Muestra'!$D$8:$D$42,ROW('03.Muestra'!$F$8:$F$42)-MIN(ROW('03.Muestra'!$D$8:$D$42))+1,""),ROW()-1880)),"")</f>
        <v>https://www.portcastello.com/</v>
      </c>
      <c r="D1907" s="130" t="str">
        <f t="shared" si="99"/>
        <v>N/T</v>
      </c>
      <c r="E1907" s="107" t="str">
        <f t="shared" si="98"/>
        <v/>
      </c>
      <c r="F1907" s="19"/>
      <c r="G1907" s="19"/>
      <c r="H1907" s="19"/>
      <c r="I1907" s="19"/>
      <c r="J1907" s="19"/>
      <c r="K1907" s="233"/>
    </row>
    <row r="1908" spans="1:11" ht="12" customHeight="1">
      <c r="A1908" s="219" t="n" cm="1">
        <f t="array" ref="A1908">IFERROR(INDEX('03.Muestra'!$B$8:$B$42,SMALL(IF("Página Web"='03.Muestra'!$D$8:$D$42,ROW('03.Muestra'!$B$8:$B$42)-MIN(ROW('03.Muestra'!$D$8:$D$42))+1,""),ROW()-1880)),"")</f>
        <v>1.0</v>
      </c>
      <c r="B1908" s="114" t="str" cm="1">
        <f t="array" ref="B1908">IFERROR(INDEX('03.Muestra'!$C$8:$C$42,SMALL(IF("Página Web"='03.Muestra'!$D$8:$D$42,ROW('03.Muestra'!$C$8:$C$42)-MIN(ROW('03.Muestra'!$D$8:$D$42))+1,""),ROW()-1880)),"")</f>
        <v>Home - PortCastelló</v>
      </c>
      <c r="C1908" s="114" t="str" cm="1">
        <f t="array" ref="C1908">IFERROR(INDEX('03.Muestra'!$F$8:$F$42,SMALL(IF("Página Web"='03.Muestra'!$D$8:$D$42,ROW('03.Muestra'!$F$8:$F$42)-MIN(ROW('03.Muestra'!$D$8:$D$42))+1,""),ROW()-1880)),"")</f>
        <v>https://www.portcastello.com/</v>
      </c>
      <c r="D1908" s="130" t="str">
        <f t="shared" si="99"/>
        <v>N/T</v>
      </c>
      <c r="E1908" s="107" t="str">
        <f t="shared" si="98"/>
        <v/>
      </c>
      <c r="G1908" s="19"/>
      <c r="H1908" s="19"/>
      <c r="I1908" s="19"/>
      <c r="J1908" s="19"/>
      <c r="K1908" s="233"/>
    </row>
    <row r="1909" spans="1:11" ht="12" customHeight="1">
      <c r="A1909" s="219" t="n" cm="1">
        <f t="array" ref="A1909">IFERROR(INDEX('03.Muestra'!$B$8:$B$42,SMALL(IF("Página Web"='03.Muestra'!$D$8:$D$42,ROW('03.Muestra'!$B$8:$B$42)-MIN(ROW('03.Muestra'!$D$8:$D$42))+1,""),ROW()-1880)),"")</f>
        <v>1.0</v>
      </c>
      <c r="B1909" s="114" t="str" cm="1">
        <f t="array" ref="B1909">IFERROR(INDEX('03.Muestra'!$C$8:$C$42,SMALL(IF("Página Web"='03.Muestra'!$D$8:$D$42,ROW('03.Muestra'!$C$8:$C$42)-MIN(ROW('03.Muestra'!$D$8:$D$42))+1,""),ROW()-1880)),"")</f>
        <v>Home - PortCastelló</v>
      </c>
      <c r="C1909" s="114" t="str" cm="1">
        <f t="array" ref="C1909">IFERROR(INDEX('03.Muestra'!$F$8:$F$42,SMALL(IF("Página Web"='03.Muestra'!$D$8:$D$42,ROW('03.Muestra'!$F$8:$F$42)-MIN(ROW('03.Muestra'!$D$8:$D$42))+1,""),ROW()-1880)),"")</f>
        <v>https://www.portcastello.com/</v>
      </c>
      <c r="D1909" s="130" t="str">
        <f t="shared" si="99"/>
        <v>N/T</v>
      </c>
      <c r="E1909" s="107" t="str">
        <f t="shared" si="98"/>
        <v/>
      </c>
      <c r="F1909" s="124"/>
      <c r="G1909" s="19"/>
      <c r="H1909" s="19"/>
      <c r="I1909" s="19"/>
      <c r="J1909" s="19"/>
      <c r="K1909" s="233"/>
    </row>
    <row r="1910" spans="1:11" ht="12" customHeight="1">
      <c r="A1910" s="219" t="n" cm="1">
        <f t="array" ref="A1910">IFERROR(INDEX('03.Muestra'!$B$8:$B$42,SMALL(IF("Página Web"='03.Muestra'!$D$8:$D$42,ROW('03.Muestra'!$B$8:$B$42)-MIN(ROW('03.Muestra'!$D$8:$D$42))+1,""),ROW()-1880)),"")</f>
        <v>1.0</v>
      </c>
      <c r="B1910" s="114" t="str" cm="1">
        <f t="array" ref="B1910">IFERROR(INDEX('03.Muestra'!$C$8:$C$42,SMALL(IF("Página Web"='03.Muestra'!$D$8:$D$42,ROW('03.Muestra'!$C$8:$C$42)-MIN(ROW('03.Muestra'!$D$8:$D$42))+1,""),ROW()-1880)),"")</f>
        <v>Home - PortCastelló</v>
      </c>
      <c r="C1910" s="114" t="str" cm="1">
        <f t="array" ref="C1910">IFERROR(INDEX('03.Muestra'!$F$8:$F$42,SMALL(IF("Página Web"='03.Muestra'!$D$8:$D$42,ROW('03.Muestra'!$F$8:$F$42)-MIN(ROW('03.Muestra'!$D$8:$D$42))+1,""),ROW()-1880)),"")</f>
        <v>https://www.portcastello.com/</v>
      </c>
      <c r="D1910" s="130" t="str">
        <f t="shared" si="99"/>
        <v>N/T</v>
      </c>
      <c r="E1910" s="107" t="str">
        <f t="shared" si="98"/>
        <v/>
      </c>
      <c r="F1910" s="124"/>
      <c r="G1910" s="19"/>
      <c r="H1910" s="19"/>
      <c r="I1910" s="19"/>
      <c r="J1910" s="19"/>
      <c r="K1910" s="233"/>
    </row>
    <row r="1911" spans="1:11" ht="12" customHeight="1">
      <c r="A1911" s="219" t="n" cm="1">
        <f t="array" ref="A1911">IFERROR(INDEX('03.Muestra'!$B$8:$B$42,SMALL(IF("Página Web"='03.Muestra'!$D$8:$D$42,ROW('03.Muestra'!$B$8:$B$42)-MIN(ROW('03.Muestra'!$D$8:$D$42))+1,""),ROW()-1880)),"")</f>
        <v>1.0</v>
      </c>
      <c r="B1911" s="114" t="str" cm="1">
        <f t="array" ref="B1911">IFERROR(INDEX('03.Muestra'!$C$8:$C$42,SMALL(IF("Página Web"='03.Muestra'!$D$8:$D$42,ROW('03.Muestra'!$C$8:$C$42)-MIN(ROW('03.Muestra'!$D$8:$D$42))+1,""),ROW()-1880)),"")</f>
        <v>Home - PortCastelló</v>
      </c>
      <c r="C1911" s="114" t="str" cm="1">
        <f t="array" ref="C1911">IFERROR(INDEX('03.Muestra'!$F$8:$F$42,SMALL(IF("Página Web"='03.Muestra'!$D$8:$D$42,ROW('03.Muestra'!$F$8:$F$42)-MIN(ROW('03.Muestra'!$D$8:$D$42))+1,""),ROW()-1880)),"")</f>
        <v>https://www.portcastello.com/</v>
      </c>
      <c r="D1911" s="130" t="str">
        <f t="shared" si="99"/>
        <v>N/T</v>
      </c>
      <c r="E1911" s="107" t="str">
        <f t="shared" si="98"/>
        <v/>
      </c>
      <c r="F1911" s="124"/>
      <c r="G1911" s="19"/>
      <c r="H1911" s="19"/>
      <c r="I1911" s="19"/>
      <c r="J1911" s="19"/>
      <c r="K1911" s="233"/>
    </row>
    <row r="1912" spans="1:11" ht="12" customHeight="1">
      <c r="A1912" s="219" t="n" cm="1">
        <f t="array" ref="A1912">IFERROR(INDEX('03.Muestra'!$B$8:$B$42,SMALL(IF("Página Web"='03.Muestra'!$D$8:$D$42,ROW('03.Muestra'!$B$8:$B$42)-MIN(ROW('03.Muestra'!$D$8:$D$42))+1,""),ROW()-1880)),"")</f>
        <v>1.0</v>
      </c>
      <c r="B1912" s="114" t="str" cm="1">
        <f t="array" ref="B1912">IFERROR(INDEX('03.Muestra'!$C$8:$C$42,SMALL(IF("Página Web"='03.Muestra'!$D$8:$D$42,ROW('03.Muestra'!$C$8:$C$42)-MIN(ROW('03.Muestra'!$D$8:$D$42))+1,""),ROW()-1880)),"")</f>
        <v>Home - PortCastelló</v>
      </c>
      <c r="C1912" s="114" t="str" cm="1">
        <f t="array" ref="C1912">IFERROR(INDEX('03.Muestra'!$F$8:$F$42,SMALL(IF("Página Web"='03.Muestra'!$D$8:$D$42,ROW('03.Muestra'!$F$8:$F$42)-MIN(ROW('03.Muestra'!$D$8:$D$42))+1,""),ROW()-1880)),"")</f>
        <v>https://www.portcastello.com/</v>
      </c>
      <c r="D1912" s="130" t="str">
        <f t="shared" si="99"/>
        <v>N/T</v>
      </c>
      <c r="E1912" s="107" t="str">
        <f t="shared" si="98"/>
        <v/>
      </c>
      <c r="F1912" s="124"/>
      <c r="G1912" s="19"/>
      <c r="H1912" s="19"/>
      <c r="I1912" s="19"/>
      <c r="J1912" s="19"/>
      <c r="K1912" s="233"/>
    </row>
    <row r="1913" spans="1:11" ht="12" customHeight="1">
      <c r="A1913" s="219" t="n" cm="1">
        <f t="array" ref="A1913">IFERROR(INDEX('03.Muestra'!$B$8:$B$42,SMALL(IF("Página Web"='03.Muestra'!$D$8:$D$42,ROW('03.Muestra'!$B$8:$B$42)-MIN(ROW('03.Muestra'!$D$8:$D$42))+1,""),ROW()-1880)),"")</f>
        <v>1.0</v>
      </c>
      <c r="B1913" s="114" t="str" cm="1">
        <f t="array" ref="B1913">IFERROR(INDEX('03.Muestra'!$C$8:$C$42,SMALL(IF("Página Web"='03.Muestra'!$D$8:$D$42,ROW('03.Muestra'!$C$8:$C$42)-MIN(ROW('03.Muestra'!$D$8:$D$42))+1,""),ROW()-1880)),"")</f>
        <v>Home - PortCastelló</v>
      </c>
      <c r="C1913" s="114" t="str" cm="1">
        <f t="array" ref="C1913">IFERROR(INDEX('03.Muestra'!$F$8:$F$42,SMALL(IF("Página Web"='03.Muestra'!$D$8:$D$42,ROW('03.Muestra'!$F$8:$F$42)-MIN(ROW('03.Muestra'!$D$8:$D$42))+1,""),ROW()-1880)),"")</f>
        <v>https://www.portcastello.com/</v>
      </c>
      <c r="D1913" s="130" t="str">
        <f t="shared" si="99"/>
        <v>N/T</v>
      </c>
      <c r="E1913" s="107" t="str">
        <f t="shared" si="98"/>
        <v/>
      </c>
      <c r="F1913" s="124"/>
      <c r="G1913" s="19"/>
      <c r="H1913" s="19"/>
      <c r="I1913" s="19"/>
      <c r="J1913" s="19"/>
      <c r="K1913" s="233"/>
    </row>
    <row r="1914" spans="1:11" ht="12" customHeight="1">
      <c r="A1914" s="219" t="str" cm="1">
        <f t="array" ref="A1914">IFERROR(INDEX('03.Muestra'!$B$8:$B$42,SMALL(IF("Página Web"='03.Muestra'!$D$8:$D$42,ROW('03.Muestra'!$B$8:$B$42)-MIN(ROW('03.Muestra'!$D$8:$D$42))+1,""),ROW()-1880)),"")</f>
        <v/>
      </c>
      <c r="B1914" s="114" t="str" cm="1">
        <f t="array" ref="B1914">IFERROR(INDEX('03.Muestra'!$C$8:$C$42,SMALL(IF("Página Web"='03.Muestra'!$D$8:$D$42,ROW('03.Muestra'!$C$8:$C$42)-MIN(ROW('03.Muestra'!$D$8:$D$42))+1,""),ROW()-1880)),"")</f>
        <v/>
      </c>
      <c r="C1914" s="114" t="str" cm="1">
        <f t="array" ref="C1914">IFERROR(INDEX('03.Muestra'!$F$8:$F$42,SMALL(IF("Página Web"='03.Muestra'!$D$8:$D$42,ROW('03.Muestra'!$F$8:$F$42)-MIN(ROW('03.Muestra'!$D$8:$D$42))+1,""),ROW()-1880)),"")</f>
        <v/>
      </c>
      <c r="D1914" s="130" t="str">
        <f t="shared" si="99"/>
        <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CalcPr fullCalcOnLoad="true"/>
  <sheetProtection password="DC4E" sheet="true" scenarios="true" objects="true"/>
  <mergeCells count="2">
    <mergeCell ref="B11:C11"/>
    <mergeCell ref="B9:M9"/>
  </mergeCells>
  <conditionalFormatting sqref="E665:E699 E57:E91 E95:E129 E133:E167 E171:E205 E209:E243 E247:E281 E285:E319 E323:E357 E361:E395 E399:E433 E437:E471 E475:E509 E513:E547 E551:E585 E589:E623 E627:E661 E703:E737 E19:E53">
    <cfRule type="cellIs" dxfId="953" priority="733" stopIfTrue="1" operator="equal">
      <formula>"ERR"</formula>
    </cfRule>
  </conditionalFormatting>
  <conditionalFormatting sqref="F19:J19 F57:J57 F95:J95 F133:J133 F171:J171 F209:J209 F247:J247 F285:J285 F323:J323 F361:J361 F399:J399 F437:J437 F475:J475 F513:J513 F551:J551 F589:J589 F627:J627 F665:J665 F703:J703 F1349:J1349 F741:J741 F779:J779 F817:J817 F855:J855 F893:J893 F931:J931 F1045:J1045 F1083:J1083 F1159:J1159 F1197:J1197 F1235:J1235 F1273:J1273 F1311:J1311 F1387:J1387 F1463:J1463 F1501:J1501 F1615:J1615 F1653:J1653 F1691:J1691 F1729:J1729 F1767:J1767 F1805:J1805 F969:J969 F1007:J1007 F1121:J1121 F1425:J1425 F1539:J1539 F1577:J1577 F1843:J1843 F1881:J1881">
    <cfRule type="expression" dxfId="952" priority="727" stopIfTrue="1">
      <formula>ISBLANK(F19)</formula>
    </cfRule>
    <cfRule type="cellIs" dxfId="951" priority="728" stopIfTrue="1" operator="equal">
      <formula>"Pasa"</formula>
    </cfRule>
    <cfRule type="cellIs" dxfId="950" priority="729" stopIfTrue="1" operator="equal">
      <formula>"Falla"</formula>
    </cfRule>
    <cfRule type="cellIs" dxfId="949" priority="730" stopIfTrue="1" operator="equal">
      <formula>"N/A"</formula>
    </cfRule>
    <cfRule type="cellIs" dxfId="948" priority="731" stopIfTrue="1" operator="equal">
      <formula>"N/T"</formula>
    </cfRule>
    <cfRule type="cellIs" dxfId="947" priority="732" stopIfTrue="1" operator="equal">
      <formula>"N/D"</formula>
    </cfRule>
  </conditionalFormatting>
  <conditionalFormatting sqref="E741:E775 E779:E813 E817:E851 E855:E889 E893:E927 E931:E965 E1045:E1079 E1083:E1117 E1159:E1193 E1197:E1231 E1235:E1269 E1273:E1307 E1311:E1345 E1349:E1383">
    <cfRule type="cellIs" dxfId="946" priority="612" stopIfTrue="1" operator="equal">
      <formula>"ERR"</formula>
    </cfRule>
  </conditionalFormatting>
  <conditionalFormatting sqref="E1387:E1421 E1463:E1497 E1501:E1535 E1615:E1649 E1653:E1687 E1691:E1725 E1729:E1763">
    <cfRule type="cellIs" dxfId="945" priority="521" operator="equal">
      <formula>"ERR"</formula>
    </cfRule>
  </conditionalFormatting>
  <conditionalFormatting sqref="E1767:E1801 E1805:E1839">
    <cfRule type="cellIs" dxfId="944" priority="472" stopIfTrue="1" operator="equal">
      <formula>"ERR"</formula>
    </cfRule>
  </conditionalFormatting>
  <conditionalFormatting sqref="E969:E1003 E1007:E1042">
    <cfRule type="cellIs" dxfId="943" priority="453" stopIfTrue="1" operator="equal">
      <formula>"ERR"</formula>
    </cfRule>
  </conditionalFormatting>
  <conditionalFormatting sqref="D1042">
    <cfRule type="expression" dxfId="942" priority="447" stopIfTrue="1">
      <formula>ISBLANK(D1042)</formula>
    </cfRule>
    <cfRule type="cellIs" dxfId="941" priority="448" stopIfTrue="1" operator="equal">
      <formula>"Pasa"</formula>
    </cfRule>
    <cfRule type="cellIs" dxfId="940" priority="449" stopIfTrue="1" operator="equal">
      <formula>"Falla"</formula>
    </cfRule>
    <cfRule type="cellIs" dxfId="939" priority="450" stopIfTrue="1" operator="equal">
      <formula>"N/A"</formula>
    </cfRule>
    <cfRule type="cellIs" dxfId="938" priority="451" stopIfTrue="1" operator="equal">
      <formula>"N/T"</formula>
    </cfRule>
    <cfRule type="cellIs" dxfId="937" priority="452" stopIfTrue="1" operator="equal">
      <formula>"N/D"</formula>
    </cfRule>
  </conditionalFormatting>
  <conditionalFormatting sqref="E1121:E1155">
    <cfRule type="cellIs" dxfId="936" priority="434" stopIfTrue="1" operator="equal">
      <formula>"ERR"</formula>
    </cfRule>
  </conditionalFormatting>
  <conditionalFormatting sqref="E1425:E1459">
    <cfRule type="cellIs" dxfId="935" priority="421" operator="equal">
      <formula>"ERR"</formula>
    </cfRule>
  </conditionalFormatting>
  <conditionalFormatting sqref="E1539:E1573 E1577:E1611">
    <cfRule type="cellIs" dxfId="934" priority="408" operator="equal">
      <formula>"ERR"</formula>
    </cfRule>
  </conditionalFormatting>
  <conditionalFormatting sqref="E1843:E1877">
    <cfRule type="cellIs" dxfId="933" priority="389" stopIfTrue="1" operator="equal">
      <formula>"ERR"</formula>
    </cfRule>
  </conditionalFormatting>
  <conditionalFormatting sqref="D19:D53">
    <cfRule type="expression" dxfId="932" priority="371" stopIfTrue="1">
      <formula>ISBLANK(D19)</formula>
    </cfRule>
    <cfRule type="cellIs" dxfId="931" priority="372" stopIfTrue="1" operator="equal">
      <formula>"Pasa"</formula>
    </cfRule>
    <cfRule type="cellIs" dxfId="930" priority="373" stopIfTrue="1" operator="equal">
      <formula>"Falla"</formula>
    </cfRule>
    <cfRule type="cellIs" dxfId="929" priority="374" stopIfTrue="1" operator="equal">
      <formula>"N/A"</formula>
    </cfRule>
    <cfRule type="cellIs" dxfId="928" priority="375" stopIfTrue="1" operator="equal">
      <formula>"N/T"</formula>
    </cfRule>
    <cfRule type="cellIs" dxfId="927" priority="376" stopIfTrue="1" operator="equal">
      <formula>"N/D"</formula>
    </cfRule>
  </conditionalFormatting>
  <conditionalFormatting sqref="D19:D53">
    <cfRule type="cellIs" dxfId="926" priority="370" stopIfTrue="1" operator="equal">
      <formula>"-"</formula>
    </cfRule>
  </conditionalFormatting>
  <conditionalFormatting sqref="D57:D91">
    <cfRule type="expression" dxfId="925" priority="364" stopIfTrue="1">
      <formula>ISBLANK(D57)</formula>
    </cfRule>
    <cfRule type="cellIs" dxfId="924" priority="365" stopIfTrue="1" operator="equal">
      <formula>"Pasa"</formula>
    </cfRule>
    <cfRule type="cellIs" dxfId="923" priority="366" stopIfTrue="1" operator="equal">
      <formula>"Falla"</formula>
    </cfRule>
    <cfRule type="cellIs" dxfId="922" priority="367" stopIfTrue="1" operator="equal">
      <formula>"N/A"</formula>
    </cfRule>
    <cfRule type="cellIs" dxfId="921" priority="368" stopIfTrue="1" operator="equal">
      <formula>"N/T"</formula>
    </cfRule>
    <cfRule type="cellIs" dxfId="920" priority="369" stopIfTrue="1" operator="equal">
      <formula>"N/D"</formula>
    </cfRule>
  </conditionalFormatting>
  <conditionalFormatting sqref="D57:D91">
    <cfRule type="cellIs" dxfId="919" priority="363" stopIfTrue="1" operator="equal">
      <formula>"-"</formula>
    </cfRule>
  </conditionalFormatting>
  <conditionalFormatting sqref="D95:D129">
    <cfRule type="expression" dxfId="918" priority="357" stopIfTrue="1">
      <formula>ISBLANK(D95)</formula>
    </cfRule>
    <cfRule type="cellIs" dxfId="917" priority="358" stopIfTrue="1" operator="equal">
      <formula>"Pasa"</formula>
    </cfRule>
    <cfRule type="cellIs" dxfId="916" priority="359" stopIfTrue="1" operator="equal">
      <formula>"Falla"</formula>
    </cfRule>
    <cfRule type="cellIs" dxfId="915" priority="360" stopIfTrue="1" operator="equal">
      <formula>"N/A"</formula>
    </cfRule>
    <cfRule type="cellIs" dxfId="914" priority="361" stopIfTrue="1" operator="equal">
      <formula>"N/T"</formula>
    </cfRule>
    <cfRule type="cellIs" dxfId="913" priority="362" stopIfTrue="1" operator="equal">
      <formula>"N/D"</formula>
    </cfRule>
  </conditionalFormatting>
  <conditionalFormatting sqref="D95:D129">
    <cfRule type="cellIs" dxfId="912" priority="356" stopIfTrue="1" operator="equal">
      <formula>"-"</formula>
    </cfRule>
  </conditionalFormatting>
  <conditionalFormatting sqref="D133:D167">
    <cfRule type="expression" dxfId="911" priority="350" stopIfTrue="1">
      <formula>ISBLANK(D133)</formula>
    </cfRule>
    <cfRule type="cellIs" dxfId="910" priority="351" stopIfTrue="1" operator="equal">
      <formula>"Pasa"</formula>
    </cfRule>
    <cfRule type="cellIs" dxfId="909" priority="352" stopIfTrue="1" operator="equal">
      <formula>"Falla"</formula>
    </cfRule>
    <cfRule type="cellIs" dxfId="908" priority="353" stopIfTrue="1" operator="equal">
      <formula>"N/A"</formula>
    </cfRule>
    <cfRule type="cellIs" dxfId="907" priority="354" stopIfTrue="1" operator="equal">
      <formula>"N/T"</formula>
    </cfRule>
    <cfRule type="cellIs" dxfId="906" priority="355" stopIfTrue="1" operator="equal">
      <formula>"N/D"</formula>
    </cfRule>
  </conditionalFormatting>
  <conditionalFormatting sqref="D133:D167">
    <cfRule type="cellIs" dxfId="905" priority="349" stopIfTrue="1" operator="equal">
      <formula>"-"</formula>
    </cfRule>
  </conditionalFormatting>
  <conditionalFormatting sqref="D171:D205">
    <cfRule type="expression" dxfId="904" priority="336" stopIfTrue="1">
      <formula>ISBLANK(D171)</formula>
    </cfRule>
    <cfRule type="cellIs" dxfId="903" priority="337" stopIfTrue="1" operator="equal">
      <formula>"Pasa"</formula>
    </cfRule>
    <cfRule type="cellIs" dxfId="902" priority="338" stopIfTrue="1" operator="equal">
      <formula>"Falla"</formula>
    </cfRule>
    <cfRule type="cellIs" dxfId="901" priority="339" stopIfTrue="1" operator="equal">
      <formula>"N/A"</formula>
    </cfRule>
    <cfRule type="cellIs" dxfId="900" priority="340" stopIfTrue="1" operator="equal">
      <formula>"N/T"</formula>
    </cfRule>
    <cfRule type="cellIs" dxfId="899" priority="341" stopIfTrue="1" operator="equal">
      <formula>"N/D"</formula>
    </cfRule>
  </conditionalFormatting>
  <conditionalFormatting sqref="D171:D205">
    <cfRule type="cellIs" dxfId="898" priority="335" stopIfTrue="1" operator="equal">
      <formula>"-"</formula>
    </cfRule>
  </conditionalFormatting>
  <conditionalFormatting sqref="D209:D243">
    <cfRule type="expression" dxfId="897" priority="329" stopIfTrue="1">
      <formula>ISBLANK(D209)</formula>
    </cfRule>
    <cfRule type="cellIs" dxfId="896" priority="330" stopIfTrue="1" operator="equal">
      <formula>"Pasa"</formula>
    </cfRule>
    <cfRule type="cellIs" dxfId="895" priority="331" stopIfTrue="1" operator="equal">
      <formula>"Falla"</formula>
    </cfRule>
    <cfRule type="cellIs" dxfId="894" priority="332" stopIfTrue="1" operator="equal">
      <formula>"N/A"</formula>
    </cfRule>
    <cfRule type="cellIs" dxfId="893" priority="333" stopIfTrue="1" operator="equal">
      <formula>"N/T"</formula>
    </cfRule>
    <cfRule type="cellIs" dxfId="892" priority="334" stopIfTrue="1" operator="equal">
      <formula>"N/D"</formula>
    </cfRule>
  </conditionalFormatting>
  <conditionalFormatting sqref="D209:D243">
    <cfRule type="cellIs" dxfId="891" priority="328" stopIfTrue="1" operator="equal">
      <formula>"-"</formula>
    </cfRule>
  </conditionalFormatting>
  <conditionalFormatting sqref="D247:D281">
    <cfRule type="expression" dxfId="890" priority="322" stopIfTrue="1">
      <formula>ISBLANK(D247)</formula>
    </cfRule>
    <cfRule type="cellIs" dxfId="889" priority="323" stopIfTrue="1" operator="equal">
      <formula>"Pasa"</formula>
    </cfRule>
    <cfRule type="cellIs" dxfId="888" priority="324" stopIfTrue="1" operator="equal">
      <formula>"Falla"</formula>
    </cfRule>
    <cfRule type="cellIs" dxfId="887" priority="325" stopIfTrue="1" operator="equal">
      <formula>"N/A"</formula>
    </cfRule>
    <cfRule type="cellIs" dxfId="886" priority="326" stopIfTrue="1" operator="equal">
      <formula>"N/T"</formula>
    </cfRule>
    <cfRule type="cellIs" dxfId="885" priority="327" stopIfTrue="1" operator="equal">
      <formula>"N/D"</formula>
    </cfRule>
  </conditionalFormatting>
  <conditionalFormatting sqref="D247:D281">
    <cfRule type="cellIs" dxfId="884" priority="321" stopIfTrue="1" operator="equal">
      <formula>"-"</formula>
    </cfRule>
  </conditionalFormatting>
  <conditionalFormatting sqref="D285:D319">
    <cfRule type="expression" dxfId="883" priority="315" stopIfTrue="1">
      <formula>ISBLANK(D285)</formula>
    </cfRule>
    <cfRule type="cellIs" dxfId="882" priority="316" stopIfTrue="1" operator="equal">
      <formula>"Pasa"</formula>
    </cfRule>
    <cfRule type="cellIs" dxfId="881" priority="317" stopIfTrue="1" operator="equal">
      <formula>"Falla"</formula>
    </cfRule>
    <cfRule type="cellIs" dxfId="880" priority="318" stopIfTrue="1" operator="equal">
      <formula>"N/A"</formula>
    </cfRule>
    <cfRule type="cellIs" dxfId="879" priority="319" stopIfTrue="1" operator="equal">
      <formula>"N/T"</formula>
    </cfRule>
    <cfRule type="cellIs" dxfId="878" priority="320" stopIfTrue="1" operator="equal">
      <formula>"N/D"</formula>
    </cfRule>
  </conditionalFormatting>
  <conditionalFormatting sqref="D285:D319">
    <cfRule type="cellIs" dxfId="877" priority="314" stopIfTrue="1" operator="equal">
      <formula>"-"</formula>
    </cfRule>
  </conditionalFormatting>
  <conditionalFormatting sqref="D323:D357">
    <cfRule type="expression" dxfId="876" priority="308" stopIfTrue="1">
      <formula>ISBLANK(D323)</formula>
    </cfRule>
    <cfRule type="cellIs" dxfId="875" priority="309" stopIfTrue="1" operator="equal">
      <formula>"Pasa"</formula>
    </cfRule>
    <cfRule type="cellIs" dxfId="874" priority="310" stopIfTrue="1" operator="equal">
      <formula>"Falla"</formula>
    </cfRule>
    <cfRule type="cellIs" dxfId="873" priority="311" stopIfTrue="1" operator="equal">
      <formula>"N/A"</formula>
    </cfRule>
    <cfRule type="cellIs" dxfId="872" priority="312" stopIfTrue="1" operator="equal">
      <formula>"N/T"</formula>
    </cfRule>
    <cfRule type="cellIs" dxfId="871" priority="313" stopIfTrue="1" operator="equal">
      <formula>"N/D"</formula>
    </cfRule>
  </conditionalFormatting>
  <conditionalFormatting sqref="D323:D357">
    <cfRule type="cellIs" dxfId="870" priority="307" stopIfTrue="1" operator="equal">
      <formula>"-"</formula>
    </cfRule>
  </conditionalFormatting>
  <conditionalFormatting sqref="D361:D395">
    <cfRule type="expression" dxfId="869" priority="301" stopIfTrue="1">
      <formula>ISBLANK(D361)</formula>
    </cfRule>
    <cfRule type="cellIs" dxfId="868" priority="302" stopIfTrue="1" operator="equal">
      <formula>"Pasa"</formula>
    </cfRule>
    <cfRule type="cellIs" dxfId="867" priority="303" stopIfTrue="1" operator="equal">
      <formula>"Falla"</formula>
    </cfRule>
    <cfRule type="cellIs" dxfId="866" priority="304" stopIfTrue="1" operator="equal">
      <formula>"N/A"</formula>
    </cfRule>
    <cfRule type="cellIs" dxfId="865" priority="305" stopIfTrue="1" operator="equal">
      <formula>"N/T"</formula>
    </cfRule>
    <cfRule type="cellIs" dxfId="864" priority="306" stopIfTrue="1" operator="equal">
      <formula>"N/D"</formula>
    </cfRule>
  </conditionalFormatting>
  <conditionalFormatting sqref="D361:D395">
    <cfRule type="cellIs" dxfId="863" priority="300" stopIfTrue="1" operator="equal">
      <formula>"-"</formula>
    </cfRule>
  </conditionalFormatting>
  <conditionalFormatting sqref="D399:D433">
    <cfRule type="expression" dxfId="862" priority="294" stopIfTrue="1">
      <formula>ISBLANK(D399)</formula>
    </cfRule>
    <cfRule type="cellIs" dxfId="861" priority="295" stopIfTrue="1" operator="equal">
      <formula>"Pasa"</formula>
    </cfRule>
    <cfRule type="cellIs" dxfId="860" priority="296" stopIfTrue="1" operator="equal">
      <formula>"Falla"</formula>
    </cfRule>
    <cfRule type="cellIs" dxfId="859" priority="297" stopIfTrue="1" operator="equal">
      <formula>"N/A"</formula>
    </cfRule>
    <cfRule type="cellIs" dxfId="858" priority="298" stopIfTrue="1" operator="equal">
      <formula>"N/T"</formula>
    </cfRule>
    <cfRule type="cellIs" dxfId="857" priority="299" stopIfTrue="1" operator="equal">
      <formula>"N/D"</formula>
    </cfRule>
  </conditionalFormatting>
  <conditionalFormatting sqref="D399:D433">
    <cfRule type="cellIs" dxfId="856" priority="293" stopIfTrue="1" operator="equal">
      <formula>"-"</formula>
    </cfRule>
  </conditionalFormatting>
  <conditionalFormatting sqref="D437:D471">
    <cfRule type="expression" dxfId="855" priority="287" stopIfTrue="1">
      <formula>ISBLANK(D437)</formula>
    </cfRule>
    <cfRule type="cellIs" dxfId="854" priority="288" stopIfTrue="1" operator="equal">
      <formula>"Pasa"</formula>
    </cfRule>
    <cfRule type="cellIs" dxfId="853" priority="289" stopIfTrue="1" operator="equal">
      <formula>"Falla"</formula>
    </cfRule>
    <cfRule type="cellIs" dxfId="852" priority="290" stopIfTrue="1" operator="equal">
      <formula>"N/A"</formula>
    </cfRule>
    <cfRule type="cellIs" dxfId="851" priority="291" stopIfTrue="1" operator="equal">
      <formula>"N/T"</formula>
    </cfRule>
    <cfRule type="cellIs" dxfId="850" priority="292" stopIfTrue="1" operator="equal">
      <formula>"N/D"</formula>
    </cfRule>
  </conditionalFormatting>
  <conditionalFormatting sqref="D437:D471">
    <cfRule type="cellIs" dxfId="849" priority="286" stopIfTrue="1" operator="equal">
      <formula>"-"</formula>
    </cfRule>
  </conditionalFormatting>
  <conditionalFormatting sqref="D475:D509">
    <cfRule type="expression" dxfId="848" priority="280" stopIfTrue="1">
      <formula>ISBLANK(D475)</formula>
    </cfRule>
    <cfRule type="cellIs" dxfId="847" priority="281" stopIfTrue="1" operator="equal">
      <formula>"Pasa"</formula>
    </cfRule>
    <cfRule type="cellIs" dxfId="846" priority="282" stopIfTrue="1" operator="equal">
      <formula>"Falla"</formula>
    </cfRule>
    <cfRule type="cellIs" dxfId="845" priority="283" stopIfTrue="1" operator="equal">
      <formula>"N/A"</formula>
    </cfRule>
    <cfRule type="cellIs" dxfId="844" priority="284" stopIfTrue="1" operator="equal">
      <formula>"N/T"</formula>
    </cfRule>
    <cfRule type="cellIs" dxfId="843" priority="285" stopIfTrue="1" operator="equal">
      <formula>"N/D"</formula>
    </cfRule>
  </conditionalFormatting>
  <conditionalFormatting sqref="D475:D509">
    <cfRule type="cellIs" dxfId="842" priority="279" stopIfTrue="1" operator="equal">
      <formula>"-"</formula>
    </cfRule>
  </conditionalFormatting>
  <conditionalFormatting sqref="D513:D547">
    <cfRule type="expression" dxfId="841" priority="273" stopIfTrue="1">
      <formula>ISBLANK(D513)</formula>
    </cfRule>
    <cfRule type="cellIs" dxfId="840" priority="274" stopIfTrue="1" operator="equal">
      <formula>"Pasa"</formula>
    </cfRule>
    <cfRule type="cellIs" dxfId="839" priority="275" stopIfTrue="1" operator="equal">
      <formula>"Falla"</formula>
    </cfRule>
    <cfRule type="cellIs" dxfId="838" priority="276" stopIfTrue="1" operator="equal">
      <formula>"N/A"</formula>
    </cfRule>
    <cfRule type="cellIs" dxfId="837" priority="277" stopIfTrue="1" operator="equal">
      <formula>"N/T"</formula>
    </cfRule>
    <cfRule type="cellIs" dxfId="836" priority="278" stopIfTrue="1" operator="equal">
      <formula>"N/D"</formula>
    </cfRule>
  </conditionalFormatting>
  <conditionalFormatting sqref="D513:D547">
    <cfRule type="cellIs" dxfId="835" priority="272" stopIfTrue="1" operator="equal">
      <formula>"-"</formula>
    </cfRule>
  </conditionalFormatting>
  <conditionalFormatting sqref="D551:D585">
    <cfRule type="expression" dxfId="834" priority="266" stopIfTrue="1">
      <formula>ISBLANK(D551)</formula>
    </cfRule>
    <cfRule type="cellIs" dxfId="833" priority="267" stopIfTrue="1" operator="equal">
      <formula>"Pasa"</formula>
    </cfRule>
    <cfRule type="cellIs" dxfId="832" priority="268" stopIfTrue="1" operator="equal">
      <formula>"Falla"</formula>
    </cfRule>
    <cfRule type="cellIs" dxfId="831" priority="269" stopIfTrue="1" operator="equal">
      <formula>"N/A"</formula>
    </cfRule>
    <cfRule type="cellIs" dxfId="830" priority="270" stopIfTrue="1" operator="equal">
      <formula>"N/T"</formula>
    </cfRule>
    <cfRule type="cellIs" dxfId="829" priority="271" stopIfTrue="1" operator="equal">
      <formula>"N/D"</formula>
    </cfRule>
  </conditionalFormatting>
  <conditionalFormatting sqref="D551:D585">
    <cfRule type="cellIs" dxfId="828" priority="265" stopIfTrue="1" operator="equal">
      <formula>"-"</formula>
    </cfRule>
  </conditionalFormatting>
  <conditionalFormatting sqref="D589:D623">
    <cfRule type="expression" dxfId="827" priority="259" stopIfTrue="1">
      <formula>ISBLANK(D589)</formula>
    </cfRule>
    <cfRule type="cellIs" dxfId="826" priority="260" stopIfTrue="1" operator="equal">
      <formula>"Pasa"</formula>
    </cfRule>
    <cfRule type="cellIs" dxfId="825" priority="261" stopIfTrue="1" operator="equal">
      <formula>"Falla"</formula>
    </cfRule>
    <cfRule type="cellIs" dxfId="824" priority="262" stopIfTrue="1" operator="equal">
      <formula>"N/A"</formula>
    </cfRule>
    <cfRule type="cellIs" dxfId="823" priority="263" stopIfTrue="1" operator="equal">
      <formula>"N/T"</formula>
    </cfRule>
    <cfRule type="cellIs" dxfId="822" priority="264" stopIfTrue="1" operator="equal">
      <formula>"N/D"</formula>
    </cfRule>
  </conditionalFormatting>
  <conditionalFormatting sqref="D589:D623">
    <cfRule type="cellIs" dxfId="821" priority="258" stopIfTrue="1" operator="equal">
      <formula>"-"</formula>
    </cfRule>
  </conditionalFormatting>
  <conditionalFormatting sqref="D627:D661">
    <cfRule type="expression" dxfId="820" priority="252" stopIfTrue="1">
      <formula>ISBLANK(D627)</formula>
    </cfRule>
    <cfRule type="cellIs" dxfId="819" priority="253" stopIfTrue="1" operator="equal">
      <formula>"Pasa"</formula>
    </cfRule>
    <cfRule type="cellIs" dxfId="818" priority="254" stopIfTrue="1" operator="equal">
      <formula>"Falla"</formula>
    </cfRule>
    <cfRule type="cellIs" dxfId="817" priority="255" stopIfTrue="1" operator="equal">
      <formula>"N/A"</formula>
    </cfRule>
    <cfRule type="cellIs" dxfId="816" priority="256" stopIfTrue="1" operator="equal">
      <formula>"N/T"</formula>
    </cfRule>
    <cfRule type="cellIs" dxfId="815" priority="257" stopIfTrue="1" operator="equal">
      <formula>"N/D"</formula>
    </cfRule>
  </conditionalFormatting>
  <conditionalFormatting sqref="D627:D661">
    <cfRule type="cellIs" dxfId="814" priority="251" stopIfTrue="1" operator="equal">
      <formula>"-"</formula>
    </cfRule>
  </conditionalFormatting>
  <conditionalFormatting sqref="D665:D699">
    <cfRule type="expression" dxfId="813" priority="245" stopIfTrue="1">
      <formula>ISBLANK(D665)</formula>
    </cfRule>
    <cfRule type="cellIs" dxfId="812" priority="246" stopIfTrue="1" operator="equal">
      <formula>"Pasa"</formula>
    </cfRule>
    <cfRule type="cellIs" dxfId="811" priority="247" stopIfTrue="1" operator="equal">
      <formula>"Falla"</formula>
    </cfRule>
    <cfRule type="cellIs" dxfId="810" priority="248" stopIfTrue="1" operator="equal">
      <formula>"N/A"</formula>
    </cfRule>
    <cfRule type="cellIs" dxfId="809" priority="249" stopIfTrue="1" operator="equal">
      <formula>"N/T"</formula>
    </cfRule>
    <cfRule type="cellIs" dxfId="808" priority="250" stopIfTrue="1" operator="equal">
      <formula>"N/D"</formula>
    </cfRule>
  </conditionalFormatting>
  <conditionalFormatting sqref="D665:D699">
    <cfRule type="cellIs" dxfId="807" priority="244" stopIfTrue="1" operator="equal">
      <formula>"-"</formula>
    </cfRule>
  </conditionalFormatting>
  <conditionalFormatting sqref="D703:D737">
    <cfRule type="expression" dxfId="806" priority="238" stopIfTrue="1">
      <formula>ISBLANK(D703)</formula>
    </cfRule>
    <cfRule type="cellIs" dxfId="805" priority="239" stopIfTrue="1" operator="equal">
      <formula>"Pasa"</formula>
    </cfRule>
    <cfRule type="cellIs" dxfId="804" priority="240" stopIfTrue="1" operator="equal">
      <formula>"Falla"</formula>
    </cfRule>
    <cfRule type="cellIs" dxfId="803" priority="241" stopIfTrue="1" operator="equal">
      <formula>"N/A"</formula>
    </cfRule>
    <cfRule type="cellIs" dxfId="802" priority="242" stopIfTrue="1" operator="equal">
      <formula>"N/T"</formula>
    </cfRule>
    <cfRule type="cellIs" dxfId="801" priority="243" stopIfTrue="1" operator="equal">
      <formula>"N/D"</formula>
    </cfRule>
  </conditionalFormatting>
  <conditionalFormatting sqref="D703:D737">
    <cfRule type="cellIs" dxfId="800" priority="237" stopIfTrue="1" operator="equal">
      <formula>"-"</formula>
    </cfRule>
  </conditionalFormatting>
  <conditionalFormatting sqref="D741:D775">
    <cfRule type="expression" dxfId="799" priority="231" stopIfTrue="1">
      <formula>ISBLANK(D741)</formula>
    </cfRule>
    <cfRule type="cellIs" dxfId="798" priority="232" stopIfTrue="1" operator="equal">
      <formula>"Pasa"</formula>
    </cfRule>
    <cfRule type="cellIs" dxfId="797" priority="233" stopIfTrue="1" operator="equal">
      <formula>"Falla"</formula>
    </cfRule>
    <cfRule type="cellIs" dxfId="796" priority="234" stopIfTrue="1" operator="equal">
      <formula>"N/A"</formula>
    </cfRule>
    <cfRule type="cellIs" dxfId="795" priority="235" stopIfTrue="1" operator="equal">
      <formula>"N/T"</formula>
    </cfRule>
    <cfRule type="cellIs" dxfId="794" priority="236" stopIfTrue="1" operator="equal">
      <formula>"N/D"</formula>
    </cfRule>
  </conditionalFormatting>
  <conditionalFormatting sqref="D741:D775">
    <cfRule type="cellIs" dxfId="793" priority="230" stopIfTrue="1" operator="equal">
      <formula>"-"</formula>
    </cfRule>
  </conditionalFormatting>
  <conditionalFormatting sqref="D779:D813">
    <cfRule type="expression" dxfId="792" priority="224" stopIfTrue="1">
      <formula>ISBLANK(D779)</formula>
    </cfRule>
    <cfRule type="cellIs" dxfId="791" priority="225" stopIfTrue="1" operator="equal">
      <formula>"Pasa"</formula>
    </cfRule>
    <cfRule type="cellIs" dxfId="790" priority="226" stopIfTrue="1" operator="equal">
      <formula>"Falla"</formula>
    </cfRule>
    <cfRule type="cellIs" dxfId="789" priority="227" stopIfTrue="1" operator="equal">
      <formula>"N/A"</formula>
    </cfRule>
    <cfRule type="cellIs" dxfId="788" priority="228" stopIfTrue="1" operator="equal">
      <formula>"N/T"</formula>
    </cfRule>
    <cfRule type="cellIs" dxfId="787" priority="229" stopIfTrue="1" operator="equal">
      <formula>"N/D"</formula>
    </cfRule>
  </conditionalFormatting>
  <conditionalFormatting sqref="D779:D813">
    <cfRule type="cellIs" dxfId="786" priority="223" stopIfTrue="1" operator="equal">
      <formula>"-"</formula>
    </cfRule>
  </conditionalFormatting>
  <conditionalFormatting sqref="D817:D851">
    <cfRule type="expression" dxfId="785" priority="217" stopIfTrue="1">
      <formula>ISBLANK(D817)</formula>
    </cfRule>
    <cfRule type="cellIs" dxfId="784" priority="218" stopIfTrue="1" operator="equal">
      <formula>"Pasa"</formula>
    </cfRule>
    <cfRule type="cellIs" dxfId="783" priority="219" stopIfTrue="1" operator="equal">
      <formula>"Falla"</formula>
    </cfRule>
    <cfRule type="cellIs" dxfId="782" priority="220" stopIfTrue="1" operator="equal">
      <formula>"N/A"</formula>
    </cfRule>
    <cfRule type="cellIs" dxfId="781" priority="221" stopIfTrue="1" operator="equal">
      <formula>"N/T"</formula>
    </cfRule>
    <cfRule type="cellIs" dxfId="780" priority="222" stopIfTrue="1" operator="equal">
      <formula>"N/D"</formula>
    </cfRule>
  </conditionalFormatting>
  <conditionalFormatting sqref="D817:D851">
    <cfRule type="cellIs" dxfId="779" priority="216" stopIfTrue="1" operator="equal">
      <formula>"-"</formula>
    </cfRule>
  </conditionalFormatting>
  <conditionalFormatting sqref="D855:D889">
    <cfRule type="expression" dxfId="778" priority="210" stopIfTrue="1">
      <formula>ISBLANK(D855)</formula>
    </cfRule>
    <cfRule type="cellIs" dxfId="777" priority="211" stopIfTrue="1" operator="equal">
      <formula>"Pasa"</formula>
    </cfRule>
    <cfRule type="cellIs" dxfId="776" priority="212" stopIfTrue="1" operator="equal">
      <formula>"Falla"</formula>
    </cfRule>
    <cfRule type="cellIs" dxfId="775" priority="213" stopIfTrue="1" operator="equal">
      <formula>"N/A"</formula>
    </cfRule>
    <cfRule type="cellIs" dxfId="774" priority="214" stopIfTrue="1" operator="equal">
      <formula>"N/T"</formula>
    </cfRule>
    <cfRule type="cellIs" dxfId="773" priority="215" stopIfTrue="1" operator="equal">
      <formula>"N/D"</formula>
    </cfRule>
  </conditionalFormatting>
  <conditionalFormatting sqref="D855:D889">
    <cfRule type="cellIs" dxfId="772" priority="209" stopIfTrue="1" operator="equal">
      <formula>"-"</formula>
    </cfRule>
  </conditionalFormatting>
  <conditionalFormatting sqref="D893:D927">
    <cfRule type="expression" dxfId="771" priority="203" stopIfTrue="1">
      <formula>ISBLANK(D893)</formula>
    </cfRule>
    <cfRule type="cellIs" dxfId="770" priority="204" stopIfTrue="1" operator="equal">
      <formula>"Pasa"</formula>
    </cfRule>
    <cfRule type="cellIs" dxfId="769" priority="205" stopIfTrue="1" operator="equal">
      <formula>"Falla"</formula>
    </cfRule>
    <cfRule type="cellIs" dxfId="768" priority="206" stopIfTrue="1" operator="equal">
      <formula>"N/A"</formula>
    </cfRule>
    <cfRule type="cellIs" dxfId="767" priority="207" stopIfTrue="1" operator="equal">
      <formula>"N/T"</formula>
    </cfRule>
    <cfRule type="cellIs" dxfId="766" priority="208" stopIfTrue="1" operator="equal">
      <formula>"N/D"</formula>
    </cfRule>
  </conditionalFormatting>
  <conditionalFormatting sqref="D893:D927">
    <cfRule type="cellIs" dxfId="765" priority="202" stopIfTrue="1" operator="equal">
      <formula>"-"</formula>
    </cfRule>
  </conditionalFormatting>
  <conditionalFormatting sqref="D931:D965">
    <cfRule type="expression" dxfId="764" priority="196" stopIfTrue="1">
      <formula>ISBLANK(D931)</formula>
    </cfRule>
    <cfRule type="cellIs" dxfId="763" priority="197" stopIfTrue="1" operator="equal">
      <formula>"Pasa"</formula>
    </cfRule>
    <cfRule type="cellIs" dxfId="762" priority="198" stopIfTrue="1" operator="equal">
      <formula>"Falla"</formula>
    </cfRule>
    <cfRule type="cellIs" dxfId="761" priority="199" stopIfTrue="1" operator="equal">
      <formula>"N/A"</formula>
    </cfRule>
    <cfRule type="cellIs" dxfId="760" priority="200" stopIfTrue="1" operator="equal">
      <formula>"N/T"</formula>
    </cfRule>
    <cfRule type="cellIs" dxfId="759" priority="201" stopIfTrue="1" operator="equal">
      <formula>"N/D"</formula>
    </cfRule>
  </conditionalFormatting>
  <conditionalFormatting sqref="D931:D965">
    <cfRule type="cellIs" dxfId="758" priority="195" stopIfTrue="1" operator="equal">
      <formula>"-"</formula>
    </cfRule>
  </conditionalFormatting>
  <conditionalFormatting sqref="D969:D1003">
    <cfRule type="expression" dxfId="757" priority="189" stopIfTrue="1">
      <formula>ISBLANK(D969)</formula>
    </cfRule>
    <cfRule type="cellIs" dxfId="756" priority="190" stopIfTrue="1" operator="equal">
      <formula>"Pasa"</formula>
    </cfRule>
    <cfRule type="cellIs" dxfId="755" priority="191" stopIfTrue="1" operator="equal">
      <formula>"Falla"</formula>
    </cfRule>
    <cfRule type="cellIs" dxfId="754" priority="192" stopIfTrue="1" operator="equal">
      <formula>"N/A"</formula>
    </cfRule>
    <cfRule type="cellIs" dxfId="753" priority="193" stopIfTrue="1" operator="equal">
      <formula>"N/T"</formula>
    </cfRule>
    <cfRule type="cellIs" dxfId="752" priority="194" stopIfTrue="1" operator="equal">
      <formula>"N/D"</formula>
    </cfRule>
  </conditionalFormatting>
  <conditionalFormatting sqref="D969:D1003">
    <cfRule type="cellIs" dxfId="751" priority="188" stopIfTrue="1" operator="equal">
      <formula>"-"</formula>
    </cfRule>
  </conditionalFormatting>
  <conditionalFormatting sqref="D1007:D1041">
    <cfRule type="expression" dxfId="750" priority="182" stopIfTrue="1">
      <formula>ISBLANK(D1007)</formula>
    </cfRule>
    <cfRule type="cellIs" dxfId="749" priority="183" stopIfTrue="1" operator="equal">
      <formula>"Pasa"</formula>
    </cfRule>
    <cfRule type="cellIs" dxfId="748" priority="184" stopIfTrue="1" operator="equal">
      <formula>"Falla"</formula>
    </cfRule>
    <cfRule type="cellIs" dxfId="747" priority="185" stopIfTrue="1" operator="equal">
      <formula>"N/A"</formula>
    </cfRule>
    <cfRule type="cellIs" dxfId="746" priority="186" stopIfTrue="1" operator="equal">
      <formula>"N/T"</formula>
    </cfRule>
    <cfRule type="cellIs" dxfId="745" priority="187" stopIfTrue="1" operator="equal">
      <formula>"N/D"</formula>
    </cfRule>
  </conditionalFormatting>
  <conditionalFormatting sqref="D1007:D1041">
    <cfRule type="cellIs" dxfId="744" priority="181" stopIfTrue="1" operator="equal">
      <formula>"-"</formula>
    </cfRule>
  </conditionalFormatting>
  <conditionalFormatting sqref="D1045:D1079">
    <cfRule type="expression" dxfId="743" priority="175" stopIfTrue="1">
      <formula>ISBLANK(D1045)</formula>
    </cfRule>
    <cfRule type="cellIs" dxfId="742" priority="176" stopIfTrue="1" operator="equal">
      <formula>"Pasa"</formula>
    </cfRule>
    <cfRule type="cellIs" dxfId="741" priority="177" stopIfTrue="1" operator="equal">
      <formula>"Falla"</formula>
    </cfRule>
    <cfRule type="cellIs" dxfId="740" priority="178" stopIfTrue="1" operator="equal">
      <formula>"N/A"</formula>
    </cfRule>
    <cfRule type="cellIs" dxfId="739" priority="179" stopIfTrue="1" operator="equal">
      <formula>"N/T"</formula>
    </cfRule>
    <cfRule type="cellIs" dxfId="738" priority="180" stopIfTrue="1" operator="equal">
      <formula>"N/D"</formula>
    </cfRule>
  </conditionalFormatting>
  <conditionalFormatting sqref="D1045:D1079">
    <cfRule type="cellIs" dxfId="737" priority="174" stopIfTrue="1" operator="equal">
      <formula>"-"</formula>
    </cfRule>
  </conditionalFormatting>
  <conditionalFormatting sqref="D1083:D1117">
    <cfRule type="expression" dxfId="736" priority="168" stopIfTrue="1">
      <formula>ISBLANK(D1083)</formula>
    </cfRule>
    <cfRule type="cellIs" dxfId="735" priority="169" stopIfTrue="1" operator="equal">
      <formula>"Pasa"</formula>
    </cfRule>
    <cfRule type="cellIs" dxfId="734" priority="170" stopIfTrue="1" operator="equal">
      <formula>"Falla"</formula>
    </cfRule>
    <cfRule type="cellIs" dxfId="733" priority="171" stopIfTrue="1" operator="equal">
      <formula>"N/A"</formula>
    </cfRule>
    <cfRule type="cellIs" dxfId="732" priority="172" stopIfTrue="1" operator="equal">
      <formula>"N/T"</formula>
    </cfRule>
    <cfRule type="cellIs" dxfId="731" priority="173" stopIfTrue="1" operator="equal">
      <formula>"N/D"</formula>
    </cfRule>
  </conditionalFormatting>
  <conditionalFormatting sqref="D1083:D1117">
    <cfRule type="cellIs" dxfId="730" priority="167" stopIfTrue="1" operator="equal">
      <formula>"-"</formula>
    </cfRule>
  </conditionalFormatting>
  <conditionalFormatting sqref="D1121:D1155">
    <cfRule type="expression" dxfId="729" priority="161" stopIfTrue="1">
      <formula>ISBLANK(D1121)</formula>
    </cfRule>
    <cfRule type="cellIs" dxfId="728" priority="162" stopIfTrue="1" operator="equal">
      <formula>"Pasa"</formula>
    </cfRule>
    <cfRule type="cellIs" dxfId="727" priority="163" stopIfTrue="1" operator="equal">
      <formula>"Falla"</formula>
    </cfRule>
    <cfRule type="cellIs" dxfId="726" priority="164" stopIfTrue="1" operator="equal">
      <formula>"N/A"</formula>
    </cfRule>
    <cfRule type="cellIs" dxfId="725" priority="165" stopIfTrue="1" operator="equal">
      <formula>"N/T"</formula>
    </cfRule>
    <cfRule type="cellIs" dxfId="724" priority="166" stopIfTrue="1" operator="equal">
      <formula>"N/D"</formula>
    </cfRule>
  </conditionalFormatting>
  <conditionalFormatting sqref="D1121:D1155">
    <cfRule type="cellIs" dxfId="723" priority="160" stopIfTrue="1" operator="equal">
      <formula>"-"</formula>
    </cfRule>
  </conditionalFormatting>
  <conditionalFormatting sqref="D1159:D1193">
    <cfRule type="expression" dxfId="722" priority="154" stopIfTrue="1">
      <formula>ISBLANK(D1159)</formula>
    </cfRule>
    <cfRule type="cellIs" dxfId="721" priority="155" stopIfTrue="1" operator="equal">
      <formula>"Pasa"</formula>
    </cfRule>
    <cfRule type="cellIs" dxfId="720" priority="156" stopIfTrue="1" operator="equal">
      <formula>"Falla"</formula>
    </cfRule>
    <cfRule type="cellIs" dxfId="719" priority="157" stopIfTrue="1" operator="equal">
      <formula>"N/A"</formula>
    </cfRule>
    <cfRule type="cellIs" dxfId="718" priority="158" stopIfTrue="1" operator="equal">
      <formula>"N/T"</formula>
    </cfRule>
    <cfRule type="cellIs" dxfId="717" priority="159" stopIfTrue="1" operator="equal">
      <formula>"N/D"</formula>
    </cfRule>
  </conditionalFormatting>
  <conditionalFormatting sqref="D1159:D1193">
    <cfRule type="cellIs" dxfId="716" priority="153" stopIfTrue="1" operator="equal">
      <formula>"-"</formula>
    </cfRule>
  </conditionalFormatting>
  <conditionalFormatting sqref="D1197:D1231">
    <cfRule type="expression" dxfId="715" priority="147" stopIfTrue="1">
      <formula>ISBLANK(D1197)</formula>
    </cfRule>
    <cfRule type="cellIs" dxfId="714" priority="148" stopIfTrue="1" operator="equal">
      <formula>"Pasa"</formula>
    </cfRule>
    <cfRule type="cellIs" dxfId="713" priority="149" stopIfTrue="1" operator="equal">
      <formula>"Falla"</formula>
    </cfRule>
    <cfRule type="cellIs" dxfId="712" priority="150" stopIfTrue="1" operator="equal">
      <formula>"N/A"</formula>
    </cfRule>
    <cfRule type="cellIs" dxfId="711" priority="151" stopIfTrue="1" operator="equal">
      <formula>"N/T"</formula>
    </cfRule>
    <cfRule type="cellIs" dxfId="710" priority="152" stopIfTrue="1" operator="equal">
      <formula>"N/D"</formula>
    </cfRule>
  </conditionalFormatting>
  <conditionalFormatting sqref="D1197:D1231">
    <cfRule type="cellIs" dxfId="709" priority="146" stopIfTrue="1" operator="equal">
      <formula>"-"</formula>
    </cfRule>
  </conditionalFormatting>
  <conditionalFormatting sqref="D1235:D1269">
    <cfRule type="expression" dxfId="708" priority="140" stopIfTrue="1">
      <formula>ISBLANK(D1235)</formula>
    </cfRule>
    <cfRule type="cellIs" dxfId="707" priority="141" stopIfTrue="1" operator="equal">
      <formula>"Pasa"</formula>
    </cfRule>
    <cfRule type="cellIs" dxfId="706" priority="142" stopIfTrue="1" operator="equal">
      <formula>"Falla"</formula>
    </cfRule>
    <cfRule type="cellIs" dxfId="705" priority="143" stopIfTrue="1" operator="equal">
      <formula>"N/A"</formula>
    </cfRule>
    <cfRule type="cellIs" dxfId="704" priority="144" stopIfTrue="1" operator="equal">
      <formula>"N/T"</formula>
    </cfRule>
    <cfRule type="cellIs" dxfId="703" priority="145" stopIfTrue="1" operator="equal">
      <formula>"N/D"</formula>
    </cfRule>
  </conditionalFormatting>
  <conditionalFormatting sqref="D1235:D1269">
    <cfRule type="cellIs" dxfId="702" priority="139" stopIfTrue="1" operator="equal">
      <formula>"-"</formula>
    </cfRule>
  </conditionalFormatting>
  <conditionalFormatting sqref="D1273:D1307">
    <cfRule type="expression" dxfId="701" priority="133" stopIfTrue="1">
      <formula>ISBLANK(D1273)</formula>
    </cfRule>
    <cfRule type="cellIs" dxfId="700" priority="134" stopIfTrue="1" operator="equal">
      <formula>"Pasa"</formula>
    </cfRule>
    <cfRule type="cellIs" dxfId="699" priority="135" stopIfTrue="1" operator="equal">
      <formula>"Falla"</formula>
    </cfRule>
    <cfRule type="cellIs" dxfId="698" priority="136" stopIfTrue="1" operator="equal">
      <formula>"N/A"</formula>
    </cfRule>
    <cfRule type="cellIs" dxfId="697" priority="137" stopIfTrue="1" operator="equal">
      <formula>"N/T"</formula>
    </cfRule>
    <cfRule type="cellIs" dxfId="696" priority="138" stopIfTrue="1" operator="equal">
      <formula>"N/D"</formula>
    </cfRule>
  </conditionalFormatting>
  <conditionalFormatting sqref="D1273:D1307">
    <cfRule type="cellIs" dxfId="695" priority="132" stopIfTrue="1" operator="equal">
      <formula>"-"</formula>
    </cfRule>
  </conditionalFormatting>
  <conditionalFormatting sqref="D1311:D1345">
    <cfRule type="expression" dxfId="694" priority="126" stopIfTrue="1">
      <formula>ISBLANK(D1311)</formula>
    </cfRule>
    <cfRule type="cellIs" dxfId="693" priority="127" stopIfTrue="1" operator="equal">
      <formula>"Pasa"</formula>
    </cfRule>
    <cfRule type="cellIs" dxfId="692" priority="128" stopIfTrue="1" operator="equal">
      <formula>"Falla"</formula>
    </cfRule>
    <cfRule type="cellIs" dxfId="691" priority="129" stopIfTrue="1" operator="equal">
      <formula>"N/A"</formula>
    </cfRule>
    <cfRule type="cellIs" dxfId="690" priority="130" stopIfTrue="1" operator="equal">
      <formula>"N/T"</formula>
    </cfRule>
    <cfRule type="cellIs" dxfId="689" priority="131" stopIfTrue="1" operator="equal">
      <formula>"N/D"</formula>
    </cfRule>
  </conditionalFormatting>
  <conditionalFormatting sqref="D1311:D1345">
    <cfRule type="cellIs" dxfId="688" priority="125" stopIfTrue="1" operator="equal">
      <formula>"-"</formula>
    </cfRule>
  </conditionalFormatting>
  <conditionalFormatting sqref="D1349:D1383">
    <cfRule type="expression" dxfId="687" priority="119" stopIfTrue="1">
      <formula>ISBLANK(D1349)</formula>
    </cfRule>
    <cfRule type="cellIs" dxfId="686" priority="120" stopIfTrue="1" operator="equal">
      <formula>"Pasa"</formula>
    </cfRule>
    <cfRule type="cellIs" dxfId="685" priority="121" stopIfTrue="1" operator="equal">
      <formula>"Falla"</formula>
    </cfRule>
    <cfRule type="cellIs" dxfId="684" priority="122" stopIfTrue="1" operator="equal">
      <formula>"N/A"</formula>
    </cfRule>
    <cfRule type="cellIs" dxfId="683" priority="123" stopIfTrue="1" operator="equal">
      <formula>"N/T"</formula>
    </cfRule>
    <cfRule type="cellIs" dxfId="682" priority="124" stopIfTrue="1" operator="equal">
      <formula>"N/D"</formula>
    </cfRule>
  </conditionalFormatting>
  <conditionalFormatting sqref="D1349:D1383">
    <cfRule type="cellIs" dxfId="681" priority="118" stopIfTrue="1" operator="equal">
      <formula>"-"</formula>
    </cfRule>
  </conditionalFormatting>
  <conditionalFormatting sqref="D1387:D1421">
    <cfRule type="expression" dxfId="680" priority="112" stopIfTrue="1">
      <formula>ISBLANK(D1387)</formula>
    </cfRule>
    <cfRule type="cellIs" dxfId="679" priority="113" stopIfTrue="1" operator="equal">
      <formula>"Pasa"</formula>
    </cfRule>
    <cfRule type="cellIs" dxfId="678" priority="114" stopIfTrue="1" operator="equal">
      <formula>"Falla"</formula>
    </cfRule>
    <cfRule type="cellIs" dxfId="677" priority="115" stopIfTrue="1" operator="equal">
      <formula>"N/A"</formula>
    </cfRule>
    <cfRule type="cellIs" dxfId="676" priority="116" stopIfTrue="1" operator="equal">
      <formula>"N/T"</formula>
    </cfRule>
    <cfRule type="cellIs" dxfId="675" priority="117" stopIfTrue="1" operator="equal">
      <formula>"N/D"</formula>
    </cfRule>
  </conditionalFormatting>
  <conditionalFormatting sqref="D1387:D1421">
    <cfRule type="cellIs" dxfId="674" priority="111" stopIfTrue="1" operator="equal">
      <formula>"-"</formula>
    </cfRule>
  </conditionalFormatting>
  <conditionalFormatting sqref="D1425:D1459">
    <cfRule type="expression" dxfId="673" priority="105" stopIfTrue="1">
      <formula>ISBLANK(D1425)</formula>
    </cfRule>
    <cfRule type="cellIs" dxfId="672" priority="106" stopIfTrue="1" operator="equal">
      <formula>"Pasa"</formula>
    </cfRule>
    <cfRule type="cellIs" dxfId="671" priority="107" stopIfTrue="1" operator="equal">
      <formula>"Falla"</formula>
    </cfRule>
    <cfRule type="cellIs" dxfId="670" priority="108" stopIfTrue="1" operator="equal">
      <formula>"N/A"</formula>
    </cfRule>
    <cfRule type="cellIs" dxfId="669" priority="109" stopIfTrue="1" operator="equal">
      <formula>"N/T"</formula>
    </cfRule>
    <cfRule type="cellIs" dxfId="668" priority="110" stopIfTrue="1" operator="equal">
      <formula>"N/D"</formula>
    </cfRule>
  </conditionalFormatting>
  <conditionalFormatting sqref="D1425:D1459">
    <cfRule type="cellIs" dxfId="667" priority="104" stopIfTrue="1" operator="equal">
      <formula>"-"</formula>
    </cfRule>
  </conditionalFormatting>
  <conditionalFormatting sqref="D1463:D1497">
    <cfRule type="expression" dxfId="666" priority="98" stopIfTrue="1">
      <formula>ISBLANK(D1463)</formula>
    </cfRule>
    <cfRule type="cellIs" dxfId="665" priority="99" stopIfTrue="1" operator="equal">
      <formula>"Pasa"</formula>
    </cfRule>
    <cfRule type="cellIs" dxfId="664" priority="100" stopIfTrue="1" operator="equal">
      <formula>"Falla"</formula>
    </cfRule>
    <cfRule type="cellIs" dxfId="663" priority="101" stopIfTrue="1" operator="equal">
      <formula>"N/A"</formula>
    </cfRule>
    <cfRule type="cellIs" dxfId="662" priority="102" stopIfTrue="1" operator="equal">
      <formula>"N/T"</formula>
    </cfRule>
    <cfRule type="cellIs" dxfId="661" priority="103" stopIfTrue="1" operator="equal">
      <formula>"N/D"</formula>
    </cfRule>
  </conditionalFormatting>
  <conditionalFormatting sqref="D1463:D1497">
    <cfRule type="cellIs" dxfId="660" priority="97" stopIfTrue="1" operator="equal">
      <formula>"-"</formula>
    </cfRule>
  </conditionalFormatting>
  <conditionalFormatting sqref="D1501:D1535">
    <cfRule type="expression" dxfId="659" priority="91" stopIfTrue="1">
      <formula>ISBLANK(D1501)</formula>
    </cfRule>
    <cfRule type="cellIs" dxfId="658" priority="92" stopIfTrue="1" operator="equal">
      <formula>"Pasa"</formula>
    </cfRule>
    <cfRule type="cellIs" dxfId="657" priority="93" stopIfTrue="1" operator="equal">
      <formula>"Falla"</formula>
    </cfRule>
    <cfRule type="cellIs" dxfId="656" priority="94" stopIfTrue="1" operator="equal">
      <formula>"N/A"</formula>
    </cfRule>
    <cfRule type="cellIs" dxfId="655" priority="95" stopIfTrue="1" operator="equal">
      <formula>"N/T"</formula>
    </cfRule>
    <cfRule type="cellIs" dxfId="654" priority="96" stopIfTrue="1" operator="equal">
      <formula>"N/D"</formula>
    </cfRule>
  </conditionalFormatting>
  <conditionalFormatting sqref="D1501:D1535">
    <cfRule type="cellIs" dxfId="653" priority="90" stopIfTrue="1" operator="equal">
      <formula>"-"</formula>
    </cfRule>
  </conditionalFormatting>
  <conditionalFormatting sqref="D1539:D1573">
    <cfRule type="expression" dxfId="652" priority="84" stopIfTrue="1">
      <formula>ISBLANK(D1539)</formula>
    </cfRule>
    <cfRule type="cellIs" dxfId="651" priority="85" stopIfTrue="1" operator="equal">
      <formula>"Pasa"</formula>
    </cfRule>
    <cfRule type="cellIs" dxfId="650" priority="86" stopIfTrue="1" operator="equal">
      <formula>"Falla"</formula>
    </cfRule>
    <cfRule type="cellIs" dxfId="649" priority="87" stopIfTrue="1" operator="equal">
      <formula>"N/A"</formula>
    </cfRule>
    <cfRule type="cellIs" dxfId="648" priority="88" stopIfTrue="1" operator="equal">
      <formula>"N/T"</formula>
    </cfRule>
    <cfRule type="cellIs" dxfId="647" priority="89" stopIfTrue="1" operator="equal">
      <formula>"N/D"</formula>
    </cfRule>
  </conditionalFormatting>
  <conditionalFormatting sqref="D1539:D1573">
    <cfRule type="cellIs" dxfId="646" priority="83" stopIfTrue="1" operator="equal">
      <formula>"-"</formula>
    </cfRule>
  </conditionalFormatting>
  <conditionalFormatting sqref="D1577:D1611">
    <cfRule type="expression" dxfId="645" priority="77" stopIfTrue="1">
      <formula>ISBLANK(D1577)</formula>
    </cfRule>
    <cfRule type="cellIs" dxfId="644" priority="78" stopIfTrue="1" operator="equal">
      <formula>"Pasa"</formula>
    </cfRule>
    <cfRule type="cellIs" dxfId="643" priority="79" stopIfTrue="1" operator="equal">
      <formula>"Falla"</formula>
    </cfRule>
    <cfRule type="cellIs" dxfId="642" priority="80" stopIfTrue="1" operator="equal">
      <formula>"N/A"</formula>
    </cfRule>
    <cfRule type="cellIs" dxfId="641" priority="81" stopIfTrue="1" operator="equal">
      <formula>"N/T"</formula>
    </cfRule>
    <cfRule type="cellIs" dxfId="640" priority="82" stopIfTrue="1" operator="equal">
      <formula>"N/D"</formula>
    </cfRule>
  </conditionalFormatting>
  <conditionalFormatting sqref="D1577:D1611">
    <cfRule type="cellIs" dxfId="639" priority="76" stopIfTrue="1" operator="equal">
      <formula>"-"</formula>
    </cfRule>
  </conditionalFormatting>
  <conditionalFormatting sqref="D1615:D1649">
    <cfRule type="expression" dxfId="638" priority="70" stopIfTrue="1">
      <formula>ISBLANK(D1615)</formula>
    </cfRule>
    <cfRule type="cellIs" dxfId="637" priority="71" stopIfTrue="1" operator="equal">
      <formula>"Pasa"</formula>
    </cfRule>
    <cfRule type="cellIs" dxfId="636" priority="72" stopIfTrue="1" operator="equal">
      <formula>"Falla"</formula>
    </cfRule>
    <cfRule type="cellIs" dxfId="635" priority="73" stopIfTrue="1" operator="equal">
      <formula>"N/A"</formula>
    </cfRule>
    <cfRule type="cellIs" dxfId="634" priority="74" stopIfTrue="1" operator="equal">
      <formula>"N/T"</formula>
    </cfRule>
    <cfRule type="cellIs" dxfId="633" priority="75" stopIfTrue="1" operator="equal">
      <formula>"N/D"</formula>
    </cfRule>
  </conditionalFormatting>
  <conditionalFormatting sqref="D1615:D1649">
    <cfRule type="cellIs" dxfId="632" priority="69" stopIfTrue="1" operator="equal">
      <formula>"-"</formula>
    </cfRule>
  </conditionalFormatting>
  <conditionalFormatting sqref="D1653:D1687">
    <cfRule type="expression" dxfId="631" priority="63" stopIfTrue="1">
      <formula>ISBLANK(D1653)</formula>
    </cfRule>
    <cfRule type="cellIs" dxfId="630" priority="64" stopIfTrue="1" operator="equal">
      <formula>"Pasa"</formula>
    </cfRule>
    <cfRule type="cellIs" dxfId="629" priority="65" stopIfTrue="1" operator="equal">
      <formula>"Falla"</formula>
    </cfRule>
    <cfRule type="cellIs" dxfId="628" priority="66" stopIfTrue="1" operator="equal">
      <formula>"N/A"</formula>
    </cfRule>
    <cfRule type="cellIs" dxfId="627" priority="67" stopIfTrue="1" operator="equal">
      <formula>"N/T"</formula>
    </cfRule>
    <cfRule type="cellIs" dxfId="626" priority="68" stopIfTrue="1" operator="equal">
      <formula>"N/D"</formula>
    </cfRule>
  </conditionalFormatting>
  <conditionalFormatting sqref="D1653:D1687">
    <cfRule type="cellIs" dxfId="625" priority="62" stopIfTrue="1" operator="equal">
      <formula>"-"</formula>
    </cfRule>
  </conditionalFormatting>
  <conditionalFormatting sqref="D1691:D1725">
    <cfRule type="expression" dxfId="624" priority="56" stopIfTrue="1">
      <formula>ISBLANK(D1691)</formula>
    </cfRule>
    <cfRule type="cellIs" dxfId="623" priority="57" stopIfTrue="1" operator="equal">
      <formula>"Pasa"</formula>
    </cfRule>
    <cfRule type="cellIs" dxfId="622" priority="58" stopIfTrue="1" operator="equal">
      <formula>"Falla"</formula>
    </cfRule>
    <cfRule type="cellIs" dxfId="621" priority="59" stopIfTrue="1" operator="equal">
      <formula>"N/A"</formula>
    </cfRule>
    <cfRule type="cellIs" dxfId="620" priority="60" stopIfTrue="1" operator="equal">
      <formula>"N/T"</formula>
    </cfRule>
    <cfRule type="cellIs" dxfId="619" priority="61" stopIfTrue="1" operator="equal">
      <formula>"N/D"</formula>
    </cfRule>
  </conditionalFormatting>
  <conditionalFormatting sqref="D1691:D1725">
    <cfRule type="cellIs" dxfId="618" priority="55" stopIfTrue="1" operator="equal">
      <formula>"-"</formula>
    </cfRule>
  </conditionalFormatting>
  <conditionalFormatting sqref="D1729:D1763">
    <cfRule type="expression" dxfId="617" priority="49" stopIfTrue="1">
      <formula>ISBLANK(D1729)</formula>
    </cfRule>
    <cfRule type="cellIs" dxfId="616" priority="50" stopIfTrue="1" operator="equal">
      <formula>"Pasa"</formula>
    </cfRule>
    <cfRule type="cellIs" dxfId="615" priority="51" stopIfTrue="1" operator="equal">
      <formula>"Falla"</formula>
    </cfRule>
    <cfRule type="cellIs" dxfId="614" priority="52" stopIfTrue="1" operator="equal">
      <formula>"N/A"</formula>
    </cfRule>
    <cfRule type="cellIs" dxfId="613" priority="53" stopIfTrue="1" operator="equal">
      <formula>"N/T"</formula>
    </cfRule>
    <cfRule type="cellIs" dxfId="612" priority="54" stopIfTrue="1" operator="equal">
      <formula>"N/D"</formula>
    </cfRule>
  </conditionalFormatting>
  <conditionalFormatting sqref="D1729:D1763">
    <cfRule type="cellIs" dxfId="611" priority="48" stopIfTrue="1" operator="equal">
      <formula>"-"</formula>
    </cfRule>
  </conditionalFormatting>
  <conditionalFormatting sqref="D1767:D1801">
    <cfRule type="expression" dxfId="610" priority="42" stopIfTrue="1">
      <formula>ISBLANK(D1767)</formula>
    </cfRule>
    <cfRule type="cellIs" dxfId="609" priority="43" stopIfTrue="1" operator="equal">
      <formula>"Pasa"</formula>
    </cfRule>
    <cfRule type="cellIs" dxfId="608" priority="44" stopIfTrue="1" operator="equal">
      <formula>"Falla"</formula>
    </cfRule>
    <cfRule type="cellIs" dxfId="607" priority="45" stopIfTrue="1" operator="equal">
      <formula>"N/A"</formula>
    </cfRule>
    <cfRule type="cellIs" dxfId="606" priority="46" stopIfTrue="1" operator="equal">
      <formula>"N/T"</formula>
    </cfRule>
    <cfRule type="cellIs" dxfId="605" priority="47" stopIfTrue="1" operator="equal">
      <formula>"N/D"</formula>
    </cfRule>
  </conditionalFormatting>
  <conditionalFormatting sqref="D1767:D1801">
    <cfRule type="cellIs" dxfId="604" priority="41" stopIfTrue="1" operator="equal">
      <formula>"-"</formula>
    </cfRule>
  </conditionalFormatting>
  <conditionalFormatting sqref="D1805:D1839">
    <cfRule type="expression" dxfId="603" priority="35" stopIfTrue="1">
      <formula>ISBLANK(D1805)</formula>
    </cfRule>
    <cfRule type="cellIs" dxfId="602" priority="36" stopIfTrue="1" operator="equal">
      <formula>"Pasa"</formula>
    </cfRule>
    <cfRule type="cellIs" dxfId="601" priority="37" stopIfTrue="1" operator="equal">
      <formula>"Falla"</formula>
    </cfRule>
    <cfRule type="cellIs" dxfId="600" priority="38" stopIfTrue="1" operator="equal">
      <formula>"N/A"</formula>
    </cfRule>
    <cfRule type="cellIs" dxfId="599" priority="39" stopIfTrue="1" operator="equal">
      <formula>"N/T"</formula>
    </cfRule>
    <cfRule type="cellIs" dxfId="598" priority="40" stopIfTrue="1" operator="equal">
      <formula>"N/D"</formula>
    </cfRule>
  </conditionalFormatting>
  <conditionalFormatting sqref="D1805:D1839">
    <cfRule type="cellIs" dxfId="597" priority="34" stopIfTrue="1" operator="equal">
      <formula>"-"</formula>
    </cfRule>
  </conditionalFormatting>
  <conditionalFormatting sqref="D1843:D1877">
    <cfRule type="expression" dxfId="596" priority="28" stopIfTrue="1">
      <formula>ISBLANK(D1843)</formula>
    </cfRule>
    <cfRule type="cellIs" dxfId="595" priority="29" stopIfTrue="1" operator="equal">
      <formula>"Pasa"</formula>
    </cfRule>
    <cfRule type="cellIs" dxfId="594" priority="30" stopIfTrue="1" operator="equal">
      <formula>"Falla"</formula>
    </cfRule>
    <cfRule type="cellIs" dxfId="593" priority="31" stopIfTrue="1" operator="equal">
      <formula>"N/A"</formula>
    </cfRule>
    <cfRule type="cellIs" dxfId="592" priority="32" stopIfTrue="1" operator="equal">
      <formula>"N/T"</formula>
    </cfRule>
    <cfRule type="cellIs" dxfId="591" priority="33" stopIfTrue="1" operator="equal">
      <formula>"N/D"</formula>
    </cfRule>
  </conditionalFormatting>
  <conditionalFormatting sqref="D1843:D1877">
    <cfRule type="cellIs" dxfId="590" priority="27" stopIfTrue="1" operator="equal">
      <formula>"-"</formula>
    </cfRule>
  </conditionalFormatting>
  <conditionalFormatting sqref="K23">
    <cfRule type="expression" dxfId="589" priority="21" stopIfTrue="1">
      <formula>ISBLANK(K23)</formula>
    </cfRule>
    <cfRule type="cellIs" dxfId="588" priority="22" stopIfTrue="1" operator="equal">
      <formula>"Pasa"</formula>
    </cfRule>
    <cfRule type="cellIs" dxfId="587" priority="23" stopIfTrue="1" operator="equal">
      <formula>"Falla"</formula>
    </cfRule>
    <cfRule type="cellIs" dxfId="586" priority="24" stopIfTrue="1" operator="equal">
      <formula>"N/A"</formula>
    </cfRule>
    <cfRule type="cellIs" dxfId="585" priority="25" stopIfTrue="1" operator="equal">
      <formula>"N/T"</formula>
    </cfRule>
    <cfRule type="cellIs" dxfId="584" priority="26" stopIfTrue="1" operator="equal">
      <formula>"N/D"</formula>
    </cfRule>
  </conditionalFormatting>
  <conditionalFormatting sqref="K24">
    <cfRule type="expression" dxfId="583" priority="15" stopIfTrue="1">
      <formula>ISBLANK(K24)</formula>
    </cfRule>
    <cfRule type="cellIs" dxfId="582" priority="16" stopIfTrue="1" operator="equal">
      <formula>"Pasa"</formula>
    </cfRule>
    <cfRule type="cellIs" dxfId="581" priority="17" stopIfTrue="1" operator="equal">
      <formula>"Falla"</formula>
    </cfRule>
    <cfRule type="cellIs" dxfId="580" priority="18" stopIfTrue="1" operator="equal">
      <formula>"N/A"</formula>
    </cfRule>
    <cfRule type="cellIs" dxfId="579" priority="19" stopIfTrue="1" operator="equal">
      <formula>"N/T"</formula>
    </cfRule>
    <cfRule type="cellIs" dxfId="578" priority="20" stopIfTrue="1" operator="equal">
      <formula>"N/D"</formula>
    </cfRule>
  </conditionalFormatting>
  <conditionalFormatting sqref="E1881:E1915">
    <cfRule type="cellIs" dxfId="577" priority="8" stopIfTrue="1" operator="equal">
      <formula>"ERR"</formula>
    </cfRule>
  </conditionalFormatting>
  <conditionalFormatting sqref="D1881:D1915">
    <cfRule type="expression" dxfId="576" priority="2" stopIfTrue="1">
      <formula>ISBLANK(D1881)</formula>
    </cfRule>
    <cfRule type="cellIs" dxfId="575" priority="3" stopIfTrue="1" operator="equal">
      <formula>"Pasa"</formula>
    </cfRule>
    <cfRule type="cellIs" dxfId="574" priority="4" stopIfTrue="1" operator="equal">
      <formula>"Falla"</formula>
    </cfRule>
    <cfRule type="cellIs" dxfId="573" priority="5" stopIfTrue="1" operator="equal">
      <formula>"N/A"</formula>
    </cfRule>
    <cfRule type="cellIs" dxfId="572" priority="6" stopIfTrue="1" operator="equal">
      <formula>"N/T"</formula>
    </cfRule>
    <cfRule type="cellIs" dxfId="571" priority="7" stopIfTrue="1" operator="equal">
      <formula>"N/D"</formula>
    </cfRule>
  </conditionalFormatting>
  <conditionalFormatting sqref="D1881:D1915">
    <cfRule type="cellIs" dxfId="570" priority="1" stopIfTrue="1" operator="equal">
      <formula>"-"</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2" tint="-0.499984740745262"/>
  </sheetPr>
  <dimension ref="A1:BL1755"/>
  <sheetViews>
    <sheetView topLeftCell="C1120" zoomScale="90" zoomScaleNormal="90" workbookViewId="0">
      <selection activeCell="D1137" sqref="D1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9.855468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95" customHeight="1">
      <c r="B8" s="265" t="s">
        <v>271</v>
      </c>
      <c r="C8" s="265"/>
      <c r="D8" s="265"/>
      <c r="E8" s="265"/>
      <c r="F8" s="265"/>
      <c r="G8" s="265"/>
      <c r="H8" s="265"/>
      <c r="I8" s="265"/>
      <c r="J8" s="265"/>
      <c r="K8" s="265"/>
      <c r="L8" s="265"/>
      <c r="M8" s="265"/>
      <c r="N8" s="19"/>
      <c r="O8" s="19"/>
    </row>
    <row r="9" spans="1:64" ht="24" customHeight="1">
      <c r="B9" s="264" t="s">
        <v>472</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COUNTIF($B$18:$B$3922,B12)</f>
        <v>45.0</v>
      </c>
      <c r="D12" s="28"/>
      <c r="E12" s="14"/>
      <c r="F12" s="62" t="s">
        <v>26</v>
      </c>
      <c r="G12" s="61" t="n">
        <f ca="1">J20+J58+J96+J134+J172+J210+J248+J286+J324+J362+J400+J438+J476+J514+J552+J590+J628+J666+J704+J742+J780+J818+J856+J894+J932+J970+J1008+J1046+J1084+J1122+J1160+J1198+J1236+J1274+J1312+J1350+J1388+J1426+J1464+J1502+J1540+J1578+J1616+J1654+J1692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f>
        <v>5.0</v>
      </c>
      <c r="L12" s="53" t="n">
        <f ca="1">IF(($G$15+$K$15)=0,0,K12/($G$15+$K$15))</f>
        <v>0.05555555555555555</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f>
        <v>5.0</v>
      </c>
      <c r="H13" s="53" t="n">
        <f ca="1">IF(($G$15+$K$15)=0,0,G13/($G$15+$K$15))</f>
        <v>0.05555555555555555</v>
      </c>
      <c r="I13" s="28"/>
      <c r="J13" s="60" t="s">
        <v>29</v>
      </c>
      <c r="K13" s="61" t="n">
        <f ca="1">F20+F58+F96+F134+F172+F210+F248+F286+F324+F362+F400+F438+F476+F514+F552+F590+F628+F666+F704+F742+F780+F818+F856+F894+F932+F970+F1008+F1046+F1084+F1122+F1160+F1198+F1236+F1274+F1312+F1350+F1388+F1426+F1464+F1502+F1540+F1578+F1616+F1654+F1692</f>
        <v>80.0</v>
      </c>
      <c r="L13" s="53" t="n">
        <f ca="1">IF(($G$15+$K$15)=0,0,K13/($G$15+$K$15))</f>
        <v>0.8888888888888888</v>
      </c>
      <c r="M13" s="19"/>
      <c r="N13" s="19"/>
      <c r="O13" s="19"/>
      <c r="P13" s="19"/>
      <c r="Q13" s="19"/>
      <c r="R13" s="19"/>
      <c r="U13" s="19"/>
      <c r="V13" s="19"/>
      <c r="W13" s="19"/>
      <c r="X13" s="19"/>
      <c r="Y13" s="19"/>
    </row>
    <row r="14" spans="1:64" ht="12" customHeight="1" thickBot="1">
      <c r="B14" s="58" t="s">
        <v>30</v>
      </c>
      <c r="C14" s="59" t="n">
        <f>C12+C13</f>
        <v>45.0</v>
      </c>
      <c r="D14" s="28"/>
      <c r="E14" s="14"/>
      <c r="F14" s="62" t="s">
        <v>31</v>
      </c>
      <c r="G14" s="61" t="n">
        <f ca="1">H20+H58+H96+H134+H172+H210+H248+H286+H324+H362+H400+H438+H476+H514+H552+H590+H628+H666+H704+H742+H780+H818+H856+H894+H932+H970+H1008+H1046+H1084+H1122+H1160+H1198+H1236+H1274+H1312+H1350+H1388+H1426+H1464+H1502+H1540+H1578+H1616+H1654+H1692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5.0</v>
      </c>
      <c r="H15" s="55" t="n">
        <f ca="1">SUM(H12:H14)</f>
        <v>0.05555555555555555</v>
      </c>
      <c r="I15" s="28"/>
      <c r="J15" s="58" t="s">
        <v>30</v>
      </c>
      <c r="K15" s="49" t="n">
        <f ca="1">SUM(K12:K13)</f>
        <v>85.0</v>
      </c>
      <c r="L15" s="55" t="n">
        <f ca="1">SUM(L12:L13)</f>
        <v>0.9444444444444444</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422</v>
      </c>
      <c r="D18" s="26" t="s">
        <v>32</v>
      </c>
      <c r="K18" s="19"/>
      <c r="L18" s="19"/>
    </row>
    <row r="19" spans="1:30" ht="12" customHeight="1">
      <c r="A19" s="219" t="n" cm="1">
        <f t="array" ref="A19">IFERROR(INDEX('03.Muestra'!$B$8:$B$42,SMALL(IF("Documento no web"='03.Muestra'!$D$8:$D$42,ROW('03.Muestra'!$B$8:$B$42)-MIN(ROW('03.Muestra'!$D$8:$D$42))+1,""),ROW()-18)),"")</f>
        <v>1.0</v>
      </c>
      <c r="B19" s="114" t="str" cm="1">
        <f t="array" ref="B19">IFERROR(INDEX('03.Muestra'!$C$8:$C$42,SMALL(IF("Documento no web"='03.Muestra'!$D$8:$D$42,ROW('03.Muestra'!$C$8:$C$42)-MIN(ROW('03.Muestra'!$D$8:$D$42))+1,""),ROW()-18)),"")</f>
        <v>Home - PortCastelló</v>
      </c>
      <c r="C19" s="114" t="str" cm="1">
        <f t="array" ref="C19">IFERROR(INDEX('03.Muestra'!$F$8:$F$42,SMALL(IF("Documento no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IFERROR(INDEX('03.Muestra'!$B$8:$B$42,SMALL(IF("Documento no web"='03.Muestra'!$D$8:$D$42,ROW('03.Muestra'!$B$8:$B$42)-MIN(ROW('03.Muestra'!$D$8:$D$42))+1,""),ROW()-18)),"")</f>
        <v>1.0</v>
      </c>
      <c r="B20" s="114" t="str" cm="1">
        <f t="array" ref="B20">IFERROR(INDEX('03.Muestra'!$C$8:$C$42,SMALL(IF("Documento no web"='03.Muestra'!$D$8:$D$42,ROW('03.Muestra'!$C$8:$C$42)-MIN(ROW('03.Muestra'!$D$8:$D$42))+1,""),ROW()-18)),"")</f>
        <v>Home - PortCastelló</v>
      </c>
      <c r="C20" s="114" t="str" cm="1">
        <f t="array" ref="C20">IFERROR(INDEX('03.Muestra'!$F$8:$F$42,SMALL(IF("Documento no web"='03.Muestra'!$D$8:$D$42,ROW('03.Muestra'!$F$8:$F$42)-MIN(ROW('03.Muestra'!$D$8:$D$42))+1,""),ROW()-18)),"")</f>
        <v>https://www.portcastello.com/</v>
      </c>
      <c r="D20" s="130" t="s">
        <v>28</v>
      </c>
      <c r="E20" s="107" t="str">
        <f t="shared" si="0"/>
        <v/>
      </c>
      <c r="F20" s="120" t="n">
        <f ca="1">COUNTIF($D19:INDIRECT("$D" &amp;  SUM(ROW()-1,'03.Muestra'!$D$45)-1),F19)</f>
        <v>0.0</v>
      </c>
      <c r="G20" s="120" t="n">
        <f ca="1">COUNTIF($D19:INDIRECT("$D" &amp;  SUM(ROW()-1,'03.Muestra'!$D$45)-1),G19)</f>
        <v>1.0</v>
      </c>
      <c r="H20" s="120" t="n">
        <f ca="1">COUNTIF($D19:INDIRECT("$D" &amp;  SUM(ROW()-1,'03.Muestra'!$D$45)-1),H19)</f>
        <v>0.0</v>
      </c>
      <c r="I20" s="120" t="n">
        <f ca="1">COUNTIF($D19:INDIRECT("$D" &amp;  SUM(ROW()-1,'03.Muestra'!$D$45)-1),I19)</f>
        <v>1.0</v>
      </c>
      <c r="J20" s="120" t="n">
        <f ca="1">COUNTIF($D19:INDIRECT("$D" &amp;  SUM(ROW()-1,'03.Muestra'!$D$45)-1),J19)</f>
        <v>0.0</v>
      </c>
      <c r="K20" s="227" t="n">
        <f ca="1">IF(COUNTIF('03.Muestra'!$D$8:$D$42,"Documento no web")=0,0,COUNTBLANK($D19:INDIRECT("$D" &amp;  SUM(ROW()-1,COUNTIF('03.Muestra'!$D$8:$D$42,"Documento no web"))-1)))</f>
        <v>0.0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ref="D21:D53">IF(AND(B21&lt;&gt;"",C21&lt;&gt;""),"N/T","")</f>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33</v>
      </c>
      <c r="L22" s="121" t="s">
        <v>34</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35</v>
      </c>
      <c r="L23" s="121" t="s">
        <v>36</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37</v>
      </c>
      <c r="L24" s="121" t="s">
        <v>38</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423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IFERROR(INDEX('03.Muestra'!$B$8:$B$42,SMALL(IF("Documento no web"='03.Muestra'!$D$8:$D$42,ROW('03.Muestra'!$B$8:$B$42)-MIN(ROW('03.Muestra'!$D$8:$D$42))+1,""),ROW()-56)),"")</f>
        <v>1.0</v>
      </c>
      <c r="B57" s="114" t="str" cm="1">
        <f t="array" ref="B57">IFERROR(INDEX('03.Muestra'!$C$8:$C$42,SMALL(IF("Documento no web"='03.Muestra'!$D$8:$D$42,ROW('03.Muestra'!$C$8:$C$42)-MIN(ROW('03.Muestra'!$D$8:$D$42))+1,""),ROW()-56)),"")</f>
        <v>Home - PortCastelló</v>
      </c>
      <c r="C57" s="114" t="str" cm="1">
        <f t="array" ref="C57">IFERROR(INDEX('03.Muestra'!$F$8:$F$42,SMALL(IF("Documento no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IFERROR(INDEX('03.Muestra'!$B$8:$B$42,SMALL(IF("Documento no web"='03.Muestra'!$D$8:$D$42,ROW('03.Muestra'!$B$8:$B$42)-MIN(ROW('03.Muestra'!$D$8:$D$42))+1,""),ROW()-56)),"")</f>
        <v>1.0</v>
      </c>
      <c r="B58" s="114" t="str" cm="1">
        <f t="array" ref="B58">IFERROR(INDEX('03.Muestra'!$C$8:$C$42,SMALL(IF("Documento no web"='03.Muestra'!$D$8:$D$42,ROW('03.Muestra'!$C$8:$C$42)-MIN(ROW('03.Muestra'!$D$8:$D$42))+1,""),ROW()-56)),"")</f>
        <v>Home - PortCastelló</v>
      </c>
      <c r="C58" s="114" t="str" cm="1">
        <f t="array" ref="C58">IFERROR(INDEX('03.Muestra'!$F$8:$F$42,SMALL(IF("Documento no web"='03.Muestra'!$D$8:$D$42,ROW('03.Muestra'!$F$8:$F$42)-MIN(ROW('03.Muestra'!$D$8:$D$42))+1,""),ROW()-56)),"")</f>
        <v>https://www.portcastello.com/</v>
      </c>
      <c r="D58" s="130" t="s">
        <v>33</v>
      </c>
      <c r="E58" s="107" t="str">
        <f t="shared" si="2"/>
        <v/>
      </c>
      <c r="F58" s="120" t="n">
        <f ca="1">COUNTIF($D57:INDIRECT("$D" &amp;  SUM(ROW()-1,'03.Muestra'!$D$45)-1),F57)</f>
        <v>2.0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IF(COUNTIF('03.Muestra'!$D$8:$D$42,"Documento no web")=0,0,COUNTBLANK($D57:INDIRECT("$D" &amp;  SUM(ROW()-1,COUNTIF('03.Muestra'!$D$8:$D$42,"Documento no web"))-1)))</f>
        <v>0.0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ref="D59:D91">IF(AND(B59&lt;&gt;"",C59&lt;&gt;""),"N/T","")</f>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424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IFERROR(INDEX('03.Muestra'!$B$8:$B$42,SMALL(IF("Documento no web"='03.Muestra'!$D$8:$D$42,ROW('03.Muestra'!$B$8:$B$42)-MIN(ROW('03.Muestra'!$D$8:$D$42))+1,""),ROW()-94)),"")</f>
        <v>1.0</v>
      </c>
      <c r="B95" s="114" t="str" cm="1">
        <f t="array" ref="B95">IFERROR(INDEX('03.Muestra'!$C$8:$C$42,SMALL(IF("Documento no web"='03.Muestra'!$D$8:$D$42,ROW('03.Muestra'!$C$8:$C$42)-MIN(ROW('03.Muestra'!$D$8:$D$42))+1,""),ROW()-94)),"")</f>
        <v>Home - PortCastelló</v>
      </c>
      <c r="C95" s="114" t="str" cm="1">
        <f t="array" ref="C95">IFERROR(INDEX('03.Muestra'!$F$8:$F$42,SMALL(IF("Documento no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IFERROR(INDEX('03.Muestra'!$B$8:$B$42,SMALL(IF("Documento no web"='03.Muestra'!$D$8:$D$42,ROW('03.Muestra'!$B$8:$B$42)-MIN(ROW('03.Muestra'!$D$8:$D$42))+1,""),ROW()-94)),"")</f>
        <v>1.0</v>
      </c>
      <c r="B96" s="114" t="str" cm="1">
        <f t="array" ref="B96">IFERROR(INDEX('03.Muestra'!$C$8:$C$42,SMALL(IF("Documento no web"='03.Muestra'!$D$8:$D$42,ROW('03.Muestra'!$C$8:$C$42)-MIN(ROW('03.Muestra'!$D$8:$D$42))+1,""),ROW()-94)),"")</f>
        <v>Home - PortCastelló</v>
      </c>
      <c r="C96" s="114" t="str" cm="1">
        <f t="array" ref="C96">IFERROR(INDEX('03.Muestra'!$F$8:$F$42,SMALL(IF("Documento no web"='03.Muestra'!$D$8:$D$42,ROW('03.Muestra'!$F$8:$F$42)-MIN(ROW('03.Muestra'!$D$8:$D$42))+1,""),ROW()-94)),"")</f>
        <v>https://www.portcastello.com/</v>
      </c>
      <c r="D96" s="130" t="s">
        <v>33</v>
      </c>
      <c r="E96" s="107" t="str">
        <f t="shared" si="4"/>
        <v/>
      </c>
      <c r="F96" s="120" t="n">
        <f ca="1">COUNTIF($D95:INDIRECT("$D" &amp;  SUM(ROW()-1,'03.Muestra'!$D$45)-1),F95)</f>
        <v>2.0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IF(COUNTIF('03.Muestra'!$D$8:$D$42,"Documento no web")=0,0,COUNTBLANK($D95:INDIRECT("$D" &amp;  SUM(ROW()-1,COUNTIF('03.Muestra'!$D$8:$D$42,"Documento no web"))-1)))</f>
        <v>0.0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ref="D97:D129">IF(AND(B97&lt;&gt;"",C97&lt;&gt;""),"N/T","")</f>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5" t="s">
        <v>425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IFERROR(INDEX('03.Muestra'!$B$8:$B$42,SMALL(IF("Documento no web"='03.Muestra'!$D$8:$D$42,ROW('03.Muestra'!$B$8:$B$42)-MIN(ROW('03.Muestra'!$D$8:$D$42))+1,""),ROW()-132)),"")</f>
        <v>1.0</v>
      </c>
      <c r="B133" s="114" t="str" cm="1">
        <f t="array" ref="B133">IFERROR(INDEX('03.Muestra'!$C$8:$C$42,SMALL(IF("Documento no web"='03.Muestra'!$D$8:$D$42,ROW('03.Muestra'!$C$8:$C$42)-MIN(ROW('03.Muestra'!$D$8:$D$42))+1,""),ROW()-132)),"")</f>
        <v>Home - PortCastelló</v>
      </c>
      <c r="C133" s="114" t="str" cm="1">
        <f t="array" ref="C133">IFERROR(INDEX('03.Muestra'!$F$8:$F$42,SMALL(IF("Documento no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IFERROR(INDEX('03.Muestra'!$B$8:$B$42,SMALL(IF("Documento no web"='03.Muestra'!$D$8:$D$42,ROW('03.Muestra'!$B$8:$B$42)-MIN(ROW('03.Muestra'!$D$8:$D$42))+1,""),ROW()-132)),"")</f>
        <v>1.0</v>
      </c>
      <c r="B134" s="114" t="str" cm="1">
        <f t="array" ref="B134">IFERROR(INDEX('03.Muestra'!$C$8:$C$42,SMALL(IF("Documento no web"='03.Muestra'!$D$8:$D$42,ROW('03.Muestra'!$C$8:$C$42)-MIN(ROW('03.Muestra'!$D$8:$D$42))+1,""),ROW()-132)),"")</f>
        <v>Home - PortCastelló</v>
      </c>
      <c r="C134" s="114" t="str" cm="1">
        <f t="array" ref="C134">IFERROR(INDEX('03.Muestra'!$F$8:$F$42,SMALL(IF("Documento no web"='03.Muestra'!$D$8:$D$42,ROW('03.Muestra'!$F$8:$F$42)-MIN(ROW('03.Muestra'!$D$8:$D$42))+1,""),ROW()-132)),"")</f>
        <v>https://www.portcastello.com/</v>
      </c>
      <c r="D134" s="130" t="s">
        <v>33</v>
      </c>
      <c r="E134" s="107" t="str">
        <f t="shared" si="6"/>
        <v/>
      </c>
      <c r="F134" s="120" t="n">
        <f ca="1">COUNTIF($D133:INDIRECT("$D" &amp;  SUM(ROW()-1,'03.Muestra'!$D$45)-1),F133)</f>
        <v>2.0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IF(COUNTIF('03.Muestra'!$D$8:$D$42,"Documento no web")=0,0,COUNTBLANK($D133:INDIRECT("$D" &amp;  SUM(ROW()-1,COUNTIF('03.Muestra'!$D$8:$D$42,"Documento no web"))-1)))</f>
        <v>0.0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ref="D135:D167">IF(AND(B135&lt;&gt;"",C135&lt;&gt;""),"N/T","")</f>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5" t="s">
        <v>426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IFERROR(INDEX('03.Muestra'!$B$8:$B$42,SMALL(IF("Documento no web"='03.Muestra'!$D$8:$D$42,ROW('03.Muestra'!$B$8:$B$42)-MIN(ROW('03.Muestra'!$D$8:$D$42))+1,""),ROW()-170)),"")</f>
        <v>1.0</v>
      </c>
      <c r="B171" s="114" t="str" cm="1">
        <f t="array" ref="B171">IFERROR(INDEX('03.Muestra'!$C$8:$C$42,SMALL(IF("Documento no web"='03.Muestra'!$D$8:$D$42,ROW('03.Muestra'!$C$8:$C$42)-MIN(ROW('03.Muestra'!$D$8:$D$42))+1,""),ROW()-170)),"")</f>
        <v>Home - PortCastelló</v>
      </c>
      <c r="C171" s="114" t="str" cm="1">
        <f t="array" ref="C171">IFERROR(INDEX('03.Muestra'!$F$8:$F$42,SMALL(IF("Documento no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IFERROR(INDEX('03.Muestra'!$B$8:$B$42,SMALL(IF("Documento no web"='03.Muestra'!$D$8:$D$42,ROW('03.Muestra'!$B$8:$B$42)-MIN(ROW('03.Muestra'!$D$8:$D$42))+1,""),ROW()-170)),"")</f>
        <v>1.0</v>
      </c>
      <c r="B172" s="114" t="str" cm="1">
        <f t="array" ref="B172">IFERROR(INDEX('03.Muestra'!$C$8:$C$42,SMALL(IF("Documento no web"='03.Muestra'!$D$8:$D$42,ROW('03.Muestra'!$C$8:$C$42)-MIN(ROW('03.Muestra'!$D$8:$D$42))+1,""),ROW()-170)),"")</f>
        <v>Home - PortCastelló</v>
      </c>
      <c r="C172" s="114" t="str" cm="1">
        <f t="array" ref="C172">IFERROR(INDEX('03.Muestra'!$F$8:$F$42,SMALL(IF("Documento no web"='03.Muestra'!$D$8:$D$42,ROW('03.Muestra'!$F$8:$F$42)-MIN(ROW('03.Muestra'!$D$8:$D$42))+1,""),ROW()-170)),"")</f>
        <v>https://www.portcastello.com/</v>
      </c>
      <c r="D172" s="130" t="s">
        <v>33</v>
      </c>
      <c r="E172" s="107" t="str">
        <f t="shared" si="8"/>
        <v/>
      </c>
      <c r="F172" s="120" t="n">
        <f ca="1">COUNTIF($D171:INDIRECT("$D" &amp;  SUM(ROW()-1,'03.Muestra'!$D$45)-1),F171)</f>
        <v>2.0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IF(COUNTIF('03.Muestra'!$D$8:$D$42,"Documento no web")=0,0,COUNTBLANK($D171:INDIRECT("$D" &amp;  SUM(ROW()-1,COUNTIF('03.Muestra'!$D$8:$D$42,"Documento no web"))-1)))</f>
        <v>0.0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ref="D173:D205">IF(AND(B173&lt;&gt;"",C173&lt;&gt;""),"N/T","")</f>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427</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IFERROR(INDEX('03.Muestra'!$B$8:$B$42,SMALL(IF("Documento no web"='03.Muestra'!$D$8:$D$42,ROW('03.Muestra'!$B$8:$B$42)-MIN(ROW('03.Muestra'!$D$8:$D$42))+1,""),ROW()-208)),"")</f>
        <v>1.0</v>
      </c>
      <c r="B209" s="114" t="str" cm="1">
        <f t="array" ref="B209">IFERROR(INDEX('03.Muestra'!$C$8:$C$42,SMALL(IF("Documento no web"='03.Muestra'!$D$8:$D$42,ROW('03.Muestra'!$C$8:$C$42)-MIN(ROW('03.Muestra'!$D$8:$D$42))+1,""),ROW()-208)),"")</f>
        <v>Home - PortCastelló</v>
      </c>
      <c r="C209" s="114" t="str" cm="1">
        <f t="array" ref="C209">IFERROR(INDEX('03.Muestra'!$F$8:$F$42,SMALL(IF("Documento no web"='03.Muestra'!$D$8:$D$42,ROW('03.Muestra'!$F$8:$F$42)-MIN(ROW('03.Muestra'!$D$8:$D$42))+1,""),ROW()-208)),"")</f>
        <v>https://www.portcastello.com/</v>
      </c>
      <c r="D209" s="130" t="s">
        <v>28</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IFERROR(INDEX('03.Muestra'!$B$8:$B$42,SMALL(IF("Documento no web"='03.Muestra'!$D$8:$D$42,ROW('03.Muestra'!$B$8:$B$42)-MIN(ROW('03.Muestra'!$D$8:$D$42))+1,""),ROW()-208)),"")</f>
        <v>1.0</v>
      </c>
      <c r="B210" s="114" t="str" cm="1">
        <f t="array" ref="B210">IFERROR(INDEX('03.Muestra'!$C$8:$C$42,SMALL(IF("Documento no web"='03.Muestra'!$D$8:$D$42,ROW('03.Muestra'!$C$8:$C$42)-MIN(ROW('03.Muestra'!$D$8:$D$42))+1,""),ROW()-208)),"")</f>
        <v>Home - PortCastelló</v>
      </c>
      <c r="C210" s="114" t="str" cm="1">
        <f t="array" ref="C210">IFERROR(INDEX('03.Muestra'!$F$8:$F$42,SMALL(IF("Documento no web"='03.Muestra'!$D$8:$D$42,ROW('03.Muestra'!$F$8:$F$42)-MIN(ROW('03.Muestra'!$D$8:$D$42))+1,""),ROW()-208)),"")</f>
        <v>https://www.portcastello.com/</v>
      </c>
      <c r="D210" s="130" t="s">
        <v>28</v>
      </c>
      <c r="E210" s="107" t="str">
        <f t="shared" si="10"/>
        <v/>
      </c>
      <c r="F210" s="120" t="n">
        <f ca="1">COUNTIF($D209:INDIRECT("$D" &amp;  SUM(ROW()-1,'03.Muestra'!$D$45)-1),F209)</f>
        <v>0.0</v>
      </c>
      <c r="G210" s="120" t="n">
        <f ca="1">COUNTIF($D209:INDIRECT("$D" &amp;  SUM(ROW()-1,'03.Muestra'!$D$45)-1),G209)</f>
        <v>0.0</v>
      </c>
      <c r="H210" s="120" t="n">
        <f ca="1">COUNTIF($D209:INDIRECT("$D" &amp;  SUM(ROW()-1,'03.Muestra'!$D$45)-1),H209)</f>
        <v>0.0</v>
      </c>
      <c r="I210" s="120" t="n">
        <f ca="1">COUNTIF($D209:INDIRECT("$D" &amp;  SUM(ROW()-1,'03.Muestra'!$D$45)-1),I209)</f>
        <v>2.0</v>
      </c>
      <c r="J210" s="120" t="n">
        <f ca="1">COUNTIF($D209:INDIRECT("$D" &amp;  SUM(ROW()-1,'03.Muestra'!$D$45)-1),J209)</f>
        <v>0.0</v>
      </c>
      <c r="K210" s="227" t="n">
        <f ca="1">IF(COUNTIF('03.Muestra'!$D$8:$D$42,"Documento no web")=0,0,COUNTBLANK($D209:INDIRECT("$D" &amp;  SUM(ROW()-1,COUNTIF('03.Muestra'!$D$8:$D$42,"Documento no web"))-1)))</f>
        <v>0.0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ref="D211:D243">IF(AND(B211&lt;&gt;"",C211&lt;&gt;""),"N/T","")</f>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428</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IFERROR(INDEX('03.Muestra'!$B$8:$B$42,SMALL(IF("Documento no web"='03.Muestra'!$D$8:$D$42,ROW('03.Muestra'!$B$8:$B$42)-MIN(ROW('03.Muestra'!$D$8:$D$42))+1,""),ROW()-246)),"")</f>
        <v>1.0</v>
      </c>
      <c r="B247" s="114" t="str" cm="1">
        <f t="array" ref="B247">IFERROR(INDEX('03.Muestra'!$C$8:$C$42,SMALL(IF("Documento no web"='03.Muestra'!$D$8:$D$42,ROW('03.Muestra'!$C$8:$C$42)-MIN(ROW('03.Muestra'!$D$8:$D$42))+1,""),ROW()-246)),"")</f>
        <v>Home - PortCastelló</v>
      </c>
      <c r="C247" s="114" t="str" cm="1">
        <f t="array" ref="C247">IFERROR(INDEX('03.Muestra'!$F$8:$F$42,SMALL(IF("Documento no web"='03.Muestra'!$D$8:$D$42,ROW('03.Muestra'!$F$8:$F$42)-MIN(ROW('03.Muestra'!$D$8:$D$42))+1,""),ROW()-246)),"")</f>
        <v>https://www.portcastello.com/</v>
      </c>
      <c r="D247" s="130" t="s">
        <v>33</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IFERROR(INDEX('03.Muestra'!$B$8:$B$42,SMALL(IF("Documento no web"='03.Muestra'!$D$8:$D$42,ROW('03.Muestra'!$B$8:$B$42)-MIN(ROW('03.Muestra'!$D$8:$D$42))+1,""),ROW()-246)),"")</f>
        <v>1.0</v>
      </c>
      <c r="B248" s="114" t="str" cm="1">
        <f t="array" ref="B248">IFERROR(INDEX('03.Muestra'!$C$8:$C$42,SMALL(IF("Documento no web"='03.Muestra'!$D$8:$D$42,ROW('03.Muestra'!$C$8:$C$42)-MIN(ROW('03.Muestra'!$D$8:$D$42))+1,""),ROW()-246)),"")</f>
        <v>Home - PortCastelló</v>
      </c>
      <c r="C248" s="114" t="str" cm="1">
        <f t="array" ref="C248">IFERROR(INDEX('03.Muestra'!$F$8:$F$42,SMALL(IF("Documento no web"='03.Muestra'!$D$8:$D$42,ROW('03.Muestra'!$F$8:$F$42)-MIN(ROW('03.Muestra'!$D$8:$D$42))+1,""),ROW()-246)),"")</f>
        <v>https://www.portcastello.com/</v>
      </c>
      <c r="D248" s="130" t="s">
        <v>33</v>
      </c>
      <c r="E248" s="107" t="str">
        <f t="shared" si="12"/>
        <v/>
      </c>
      <c r="F248" s="120" t="n">
        <f ca="1">COUNTIF($D247:INDIRECT("$D" &amp;  SUM(ROW()-1,'03.Muestra'!$D$45)-1),F247)</f>
        <v>2.0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IF(COUNTIF('03.Muestra'!$D$8:$D$42,"Documento no web")=0,0,COUNTBLANK($D247:INDIRECT("$D" &amp;  SUM(ROW()-1,COUNTIF('03.Muestra'!$D$8:$D$42,"Documento no web"))-1)))</f>
        <v>0.0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ref="D249:D281">IF(AND(B249&lt;&gt;"",C249&lt;&gt;""),"N/T","")</f>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429</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IFERROR(INDEX('03.Muestra'!$B$8:$B$42,SMALL(IF("Documento no web"='03.Muestra'!$D$8:$D$42,ROW('03.Muestra'!$B$8:$B$42)-MIN(ROW('03.Muestra'!$D$8:$D$42))+1,""),ROW()-284)),"")</f>
        <v>1.0</v>
      </c>
      <c r="B285" s="114" t="str" cm="1">
        <f t="array" ref="B285">IFERROR(INDEX('03.Muestra'!$C$8:$C$42,SMALL(IF("Documento no web"='03.Muestra'!$D$8:$D$42,ROW('03.Muestra'!$C$8:$C$42)-MIN(ROW('03.Muestra'!$D$8:$D$42))+1,""),ROW()-284)),"")</f>
        <v>Home - PortCastelló</v>
      </c>
      <c r="C285" s="114" t="str" cm="1">
        <f t="array" ref="C285">IFERROR(INDEX('03.Muestra'!$F$8:$F$42,SMALL(IF("Documento no web"='03.Muestra'!$D$8:$D$42,ROW('03.Muestra'!$F$8:$F$42)-MIN(ROW('03.Muestra'!$D$8:$D$42))+1,""),ROW()-284)),"")</f>
        <v>https://www.portcastello.com/</v>
      </c>
      <c r="D285" s="130" t="s">
        <v>33</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IFERROR(INDEX('03.Muestra'!$B$8:$B$42,SMALL(IF("Documento no web"='03.Muestra'!$D$8:$D$42,ROW('03.Muestra'!$B$8:$B$42)-MIN(ROW('03.Muestra'!$D$8:$D$42))+1,""),ROW()-284)),"")</f>
        <v>1.0</v>
      </c>
      <c r="B286" s="114" t="str" cm="1">
        <f t="array" ref="B286">IFERROR(INDEX('03.Muestra'!$C$8:$C$42,SMALL(IF("Documento no web"='03.Muestra'!$D$8:$D$42,ROW('03.Muestra'!$C$8:$C$42)-MIN(ROW('03.Muestra'!$D$8:$D$42))+1,""),ROW()-284)),"")</f>
        <v>Home - PortCastelló</v>
      </c>
      <c r="C286" s="114" t="str" cm="1">
        <f t="array" ref="C286">IFERROR(INDEX('03.Muestra'!$F$8:$F$42,SMALL(IF("Documento no web"='03.Muestra'!$D$8:$D$42,ROW('03.Muestra'!$F$8:$F$42)-MIN(ROW('03.Muestra'!$D$8:$D$42))+1,""),ROW()-284)),"")</f>
        <v>https://www.portcastello.com/</v>
      </c>
      <c r="D286" s="130" t="s">
        <v>33</v>
      </c>
      <c r="E286" s="107" t="str">
        <f t="shared" si="14"/>
        <v/>
      </c>
      <c r="F286" s="120" t="n">
        <f ca="1">COUNTIF($D285:INDIRECT("$D" &amp;  SUM(ROW()-1,'03.Muestra'!$D$45)-1),F285)</f>
        <v>2.0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IF(COUNTIF('03.Muestra'!$D$8:$D$42,"Documento no web")=0,0,COUNTBLANK($D285:INDIRECT("$D" &amp;  SUM(ROW()-1,COUNTIF('03.Muestra'!$D$8:$D$42,"Documento no web"))-1)))</f>
        <v>0.0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ref="D287:D319">IF(AND(B287&lt;&gt;"",C287&lt;&gt;""),"N/T","")</f>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430</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IFERROR(INDEX('03.Muestra'!$B$8:$B$42,SMALL(IF("Documento no web"='03.Muestra'!$D$8:$D$42,ROW('03.Muestra'!$B$8:$B$42)-MIN(ROW('03.Muestra'!$D$8:$D$42))+1,""),ROW()-322)),"")</f>
        <v>1.0</v>
      </c>
      <c r="B323" s="114" t="str" cm="1">
        <f t="array" ref="B323">IFERROR(INDEX('03.Muestra'!$C$8:$C$42,SMALL(IF("Documento no web"='03.Muestra'!$D$8:$D$42,ROW('03.Muestra'!$C$8:$C$42)-MIN(ROW('03.Muestra'!$D$8:$D$42))+1,""),ROW()-322)),"")</f>
        <v>Home - PortCastelló</v>
      </c>
      <c r="C323" s="114" t="str" cm="1">
        <f t="array" ref="C323">IFERROR(INDEX('03.Muestra'!$F$8:$F$42,SMALL(IF("Documento no web"='03.Muestra'!$D$8:$D$42,ROW('03.Muestra'!$F$8:$F$42)-MIN(ROW('03.Muestra'!$D$8:$D$42))+1,""),ROW()-322)),"")</f>
        <v>https://www.portcastello.com/</v>
      </c>
      <c r="D323" s="130" t="s">
        <v>33</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IFERROR(INDEX('03.Muestra'!$B$8:$B$42,SMALL(IF("Documento no web"='03.Muestra'!$D$8:$D$42,ROW('03.Muestra'!$B$8:$B$42)-MIN(ROW('03.Muestra'!$D$8:$D$42))+1,""),ROW()-322)),"")</f>
        <v>1.0</v>
      </c>
      <c r="B324" s="114" t="str" cm="1">
        <f t="array" ref="B324">IFERROR(INDEX('03.Muestra'!$C$8:$C$42,SMALL(IF("Documento no web"='03.Muestra'!$D$8:$D$42,ROW('03.Muestra'!$C$8:$C$42)-MIN(ROW('03.Muestra'!$D$8:$D$42))+1,""),ROW()-322)),"")</f>
        <v>Home - PortCastelló</v>
      </c>
      <c r="C324" s="114" t="str" cm="1">
        <f t="array" ref="C324">IFERROR(INDEX('03.Muestra'!$F$8:$F$42,SMALL(IF("Documento no web"='03.Muestra'!$D$8:$D$42,ROW('03.Muestra'!$F$8:$F$42)-MIN(ROW('03.Muestra'!$D$8:$D$42))+1,""),ROW()-322)),"")</f>
        <v>https://www.portcastello.com/</v>
      </c>
      <c r="D324" s="130" t="s">
        <v>33</v>
      </c>
      <c r="E324" s="107" t="str">
        <f t="shared" si="16"/>
        <v/>
      </c>
      <c r="F324" s="120" t="n">
        <f ca="1">COUNTIF($D323:INDIRECT("$D" &amp;  SUM(ROW()-1,'03.Muestra'!$D$45)-1),F323)</f>
        <v>2.0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IF(COUNTIF('03.Muestra'!$D$8:$D$42,"Documento no web")=0,0,COUNTBLANK($D323:INDIRECT("$D" &amp;  SUM(ROW()-1,COUNTIF('03.Muestra'!$D$8:$D$42,"Documento no web"))-1)))</f>
        <v>0.0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ref="D325:D357">IF(AND(B325&lt;&gt;"",C325&lt;&gt;""),"N/T","")</f>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268</v>
      </c>
      <c r="B360" s="24" t="s">
        <v>90</v>
      </c>
      <c r="C360" s="25" t="s">
        <v>431</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IFERROR(INDEX('03.Muestra'!$B$8:$B$42,SMALL(IF("Documento no web"='03.Muestra'!$D$8:$D$42,ROW('03.Muestra'!$B$8:$B$42)-MIN(ROW('03.Muestra'!$D$8:$D$42))+1,""),ROW()-360)),"")</f>
        <v>1.0</v>
      </c>
      <c r="B361" s="114" t="str" cm="1">
        <f t="array" ref="B361">IFERROR(INDEX('03.Muestra'!$C$8:$C$42,SMALL(IF("Documento no web"='03.Muestra'!$D$8:$D$42,ROW('03.Muestra'!$C$8:$C$42)-MIN(ROW('03.Muestra'!$D$8:$D$42))+1,""),ROW()-360)),"")</f>
        <v>Home - PortCastelló</v>
      </c>
      <c r="C361" s="114" t="str" cm="1">
        <f t="array" ref="C361">IFERROR(INDEX('03.Muestra'!$F$8:$F$42,SMALL(IF("Documento no web"='03.Muestra'!$D$8:$D$42,ROW('03.Muestra'!$F$8:$F$42)-MIN(ROW('03.Muestra'!$D$8:$D$42))+1,""),ROW()-360)),"")</f>
        <v>https://www.portcastello.com/</v>
      </c>
      <c r="D361" s="130" t="s">
        <v>33</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IFERROR(INDEX('03.Muestra'!$B$8:$B$42,SMALL(IF("Documento no web"='03.Muestra'!$D$8:$D$42,ROW('03.Muestra'!$B$8:$B$42)-MIN(ROW('03.Muestra'!$D$8:$D$42))+1,""),ROW()-360)),"")</f>
        <v>1.0</v>
      </c>
      <c r="B362" s="114" t="str" cm="1">
        <f t="array" ref="B362">IFERROR(INDEX('03.Muestra'!$C$8:$C$42,SMALL(IF("Documento no web"='03.Muestra'!$D$8:$D$42,ROW('03.Muestra'!$C$8:$C$42)-MIN(ROW('03.Muestra'!$D$8:$D$42))+1,""),ROW()-360)),"")</f>
        <v>Home - PortCastelló</v>
      </c>
      <c r="C362" s="114" t="str" cm="1">
        <f t="array" ref="C362">IFERROR(INDEX('03.Muestra'!$F$8:$F$42,SMALL(IF("Documento no web"='03.Muestra'!$D$8:$D$42,ROW('03.Muestra'!$F$8:$F$42)-MIN(ROW('03.Muestra'!$D$8:$D$42))+1,""),ROW()-360)),"")</f>
        <v>https://www.portcastello.com/</v>
      </c>
      <c r="D362" s="130" t="s">
        <v>33</v>
      </c>
      <c r="E362" s="107" t="str">
        <f t="shared" si="18"/>
        <v/>
      </c>
      <c r="F362" s="120" t="n">
        <f ca="1">COUNTIF($D361:INDIRECT("$D" &amp;  SUM(ROW()-1,'03.Muestra'!$D$45)-1),F361)</f>
        <v>2.0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IF(COUNTIF('03.Muestra'!$D$8:$D$42,"Documento no web")=0,0,COUNTBLANK($D361:INDIRECT("$D" &amp;  SUM(ROW()-1,COUNTIF('03.Muestra'!$D$8:$D$42,"Documento no web"))-1)))</f>
        <v>0.0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ref="D363:D395">IF(AND(B363&lt;&gt;"",C363&lt;&gt;""),"N/T","")</f>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268</v>
      </c>
      <c r="B398" s="24" t="s">
        <v>90</v>
      </c>
      <c r="C398" s="25" t="s">
        <v>432</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IFERROR(INDEX('03.Muestra'!$B$8:$B$42,SMALL(IF("Documento no web"='03.Muestra'!$D$8:$D$42,ROW('03.Muestra'!$B$8:$B$42)-MIN(ROW('03.Muestra'!$D$8:$D$42))+1,""),ROW()-398)),"")</f>
        <v>1.0</v>
      </c>
      <c r="B399" s="114" t="str" cm="1">
        <f t="array" ref="B399">IFERROR(INDEX('03.Muestra'!$C$8:$C$42,SMALL(IF("Documento no web"='03.Muestra'!$D$8:$D$42,ROW('03.Muestra'!$C$8:$C$42)-MIN(ROW('03.Muestra'!$D$8:$D$42))+1,""),ROW()-398)),"")</f>
        <v>Home - PortCastelló</v>
      </c>
      <c r="C399" s="114" t="str" cm="1">
        <f t="array" ref="C399">IFERROR(INDEX('03.Muestra'!$F$8:$F$42,SMALL(IF("Documento no web"='03.Muestra'!$D$8:$D$42,ROW('03.Muestra'!$F$8:$F$42)-MIN(ROW('03.Muestra'!$D$8:$D$42))+1,""),ROW()-398)),"")</f>
        <v>https://www.portcastello.com/</v>
      </c>
      <c r="D399" s="130" t="s">
        <v>33</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IFERROR(INDEX('03.Muestra'!$B$8:$B$42,SMALL(IF("Documento no web"='03.Muestra'!$D$8:$D$42,ROW('03.Muestra'!$B$8:$B$42)-MIN(ROW('03.Muestra'!$D$8:$D$42))+1,""),ROW()-398)),"")</f>
        <v>1.0</v>
      </c>
      <c r="B400" s="114" t="str" cm="1">
        <f t="array" ref="B400">IFERROR(INDEX('03.Muestra'!$C$8:$C$42,SMALL(IF("Documento no web"='03.Muestra'!$D$8:$D$42,ROW('03.Muestra'!$C$8:$C$42)-MIN(ROW('03.Muestra'!$D$8:$D$42))+1,""),ROW()-398)),"")</f>
        <v>Home - PortCastelló</v>
      </c>
      <c r="C400" s="114" t="str" cm="1">
        <f t="array" ref="C400">IFERROR(INDEX('03.Muestra'!$F$8:$F$42,SMALL(IF("Documento no web"='03.Muestra'!$D$8:$D$42,ROW('03.Muestra'!$F$8:$F$42)-MIN(ROW('03.Muestra'!$D$8:$D$42))+1,""),ROW()-398)),"")</f>
        <v>https://www.portcastello.com/</v>
      </c>
      <c r="D400" s="130" t="s">
        <v>33</v>
      </c>
      <c r="E400" s="107" t="str">
        <f t="shared" si="20"/>
        <v/>
      </c>
      <c r="F400" s="120" t="n">
        <f ca="1">COUNTIF($D399:INDIRECT("$D" &amp;  SUM(ROW()-1,'03.Muestra'!$D$45)-1),F399)</f>
        <v>2.0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IF(COUNTIF('03.Muestra'!$D$8:$D$42,"Documento no web")=0,0,COUNTBLANK($D399:INDIRECT("$D" &amp;  SUM(ROW()-1,COUNTIF('03.Muestra'!$D$8:$D$42,"Documento no web"))-1)))</f>
        <v>0.0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ref="D401:D433">IF(AND(B401&lt;&gt;"",C401&lt;&gt;""),"N/T","")</f>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268</v>
      </c>
      <c r="B436" s="24" t="s">
        <v>90</v>
      </c>
      <c r="C436" s="25" t="s">
        <v>433</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IFERROR(INDEX('03.Muestra'!$B$8:$B$42,SMALL(IF("Documento no web"='03.Muestra'!$D$8:$D$42,ROW('03.Muestra'!$B$8:$B$42)-MIN(ROW('03.Muestra'!$D$8:$D$42))+1,""),ROW()-436)),"")</f>
        <v>1.0</v>
      </c>
      <c r="B437" s="114" t="str" cm="1">
        <f t="array" ref="B437">IFERROR(INDEX('03.Muestra'!$C$8:$C$42,SMALL(IF("Documento no web"='03.Muestra'!$D$8:$D$42,ROW('03.Muestra'!$C$8:$C$42)-MIN(ROW('03.Muestra'!$D$8:$D$42))+1,""),ROW()-436)),"")</f>
        <v>Home - PortCastelló</v>
      </c>
      <c r="C437" s="114" t="str" cm="1">
        <f t="array" ref="C437">IFERROR(INDEX('03.Muestra'!$F$8:$F$42,SMALL(IF("Documento no web"='03.Muestra'!$D$8:$D$42,ROW('03.Muestra'!$F$8:$F$42)-MIN(ROW('03.Muestra'!$D$8:$D$42))+1,""),ROW()-436)),"")</f>
        <v>https://www.portcastello.com/</v>
      </c>
      <c r="D437" s="130" t="s">
        <v>33</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IFERROR(INDEX('03.Muestra'!$B$8:$B$42,SMALL(IF("Documento no web"='03.Muestra'!$D$8:$D$42,ROW('03.Muestra'!$B$8:$B$42)-MIN(ROW('03.Muestra'!$D$8:$D$42))+1,""),ROW()-436)),"")</f>
        <v>1.0</v>
      </c>
      <c r="B438" s="114" t="str" cm="1">
        <f t="array" ref="B438">IFERROR(INDEX('03.Muestra'!$C$8:$C$42,SMALL(IF("Documento no web"='03.Muestra'!$D$8:$D$42,ROW('03.Muestra'!$C$8:$C$42)-MIN(ROW('03.Muestra'!$D$8:$D$42))+1,""),ROW()-436)),"")</f>
        <v>Home - PortCastelló</v>
      </c>
      <c r="C438" s="114" t="str" cm="1">
        <f t="array" ref="C438">IFERROR(INDEX('03.Muestra'!$F$8:$F$42,SMALL(IF("Documento no web"='03.Muestra'!$D$8:$D$42,ROW('03.Muestra'!$F$8:$F$42)-MIN(ROW('03.Muestra'!$D$8:$D$42))+1,""),ROW()-436)),"")</f>
        <v>https://www.portcastello.com/</v>
      </c>
      <c r="D438" s="130" t="s">
        <v>33</v>
      </c>
      <c r="E438" s="107" t="str">
        <f t="shared" si="22"/>
        <v/>
      </c>
      <c r="F438" s="120" t="n">
        <f ca="1">COUNTIF($D437:INDIRECT("$D" &amp;  SUM(ROW()-1,'03.Muestra'!$D$45)-1),F437)</f>
        <v>2.0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IF(COUNTIF('03.Muestra'!$D$8:$D$42,"Documento no web")=0,0,COUNTBLANK($D437:INDIRECT("$D" &amp;  SUM(ROW()-1,COUNTIF('03.Muestra'!$D$8:$D$42,"Documento no web"))-1)))</f>
        <v>0.0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ref="D439:D471">IF(AND(B439&lt;&gt;"",C439&lt;&gt;""),"N/T","")</f>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268</v>
      </c>
      <c r="B474" s="24" t="s">
        <v>90</v>
      </c>
      <c r="C474" s="25" t="s">
        <v>434</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IFERROR(INDEX('03.Muestra'!$B$8:$B$42,SMALL(IF("Documento no web"='03.Muestra'!$D$8:$D$42,ROW('03.Muestra'!$B$8:$B$42)-MIN(ROW('03.Muestra'!$D$8:$D$42))+1,""),ROW()-474)),"")</f>
        <v>1.0</v>
      </c>
      <c r="B475" s="114" t="str" cm="1">
        <f t="array" ref="B475">IFERROR(INDEX('03.Muestra'!$C$8:$C$42,SMALL(IF("Documento no web"='03.Muestra'!$D$8:$D$42,ROW('03.Muestra'!$C$8:$C$42)-MIN(ROW('03.Muestra'!$D$8:$D$42))+1,""),ROW()-474)),"")</f>
        <v>Home - PortCastelló</v>
      </c>
      <c r="C475" s="114" t="str" cm="1">
        <f t="array" ref="C475">IFERROR(INDEX('03.Muestra'!$F$8:$F$42,SMALL(IF("Documento no web"='03.Muestra'!$D$8:$D$42,ROW('03.Muestra'!$F$8:$F$42)-MIN(ROW('03.Muestra'!$D$8:$D$42))+1,""),ROW()-474)),"")</f>
        <v>https://www.portcastello.com/</v>
      </c>
      <c r="D475" s="130" t="s">
        <v>33</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IFERROR(INDEX('03.Muestra'!$B$8:$B$42,SMALL(IF("Documento no web"='03.Muestra'!$D$8:$D$42,ROW('03.Muestra'!$B$8:$B$42)-MIN(ROW('03.Muestra'!$D$8:$D$42))+1,""),ROW()-474)),"")</f>
        <v>1.0</v>
      </c>
      <c r="B476" s="114" t="str" cm="1">
        <f t="array" ref="B476">IFERROR(INDEX('03.Muestra'!$C$8:$C$42,SMALL(IF("Documento no web"='03.Muestra'!$D$8:$D$42,ROW('03.Muestra'!$C$8:$C$42)-MIN(ROW('03.Muestra'!$D$8:$D$42))+1,""),ROW()-474)),"")</f>
        <v>Home - PortCastelló</v>
      </c>
      <c r="C476" s="114" t="str" cm="1">
        <f t="array" ref="C476">IFERROR(INDEX('03.Muestra'!$F$8:$F$42,SMALL(IF("Documento no web"='03.Muestra'!$D$8:$D$42,ROW('03.Muestra'!$F$8:$F$42)-MIN(ROW('03.Muestra'!$D$8:$D$42))+1,""),ROW()-474)),"")</f>
        <v>https://www.portcastello.com/</v>
      </c>
      <c r="D476" s="130" t="s">
        <v>33</v>
      </c>
      <c r="E476" s="107" t="str">
        <f t="shared" si="24"/>
        <v/>
      </c>
      <c r="F476" s="120" t="n">
        <f ca="1">COUNTIF($D475:INDIRECT("$D" &amp;  SUM(ROW()-1,'03.Muestra'!$D$45)-1),F475)</f>
        <v>2.0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27" t="n">
        <f ca="1">IF(COUNTIF('03.Muestra'!$D$8:$D$42,"Documento no web")=0,0,COUNTBLANK($D475:INDIRECT("$D" &amp;  SUM(ROW()-1,COUNTIF('03.Muestra'!$D$8:$D$42,"Documento no web"))-1)))</f>
        <v>0.0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ref="D477:D509">IF(AND(B477&lt;&gt;"",C477&lt;&gt;""),"N/T","")</f>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268</v>
      </c>
      <c r="B512" s="24" t="s">
        <v>90</v>
      </c>
      <c r="C512" s="25" t="s">
        <v>435</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IFERROR(INDEX('03.Muestra'!$B$8:$B$42,SMALL(IF("Documento no web"='03.Muestra'!$D$8:$D$42,ROW('03.Muestra'!$B$8:$B$42)-MIN(ROW('03.Muestra'!$D$8:$D$42))+1,""),ROW()-512)),"")</f>
        <v>1.0</v>
      </c>
      <c r="B513" s="114" t="str" cm="1">
        <f t="array" ref="B513">IFERROR(INDEX('03.Muestra'!$C$8:$C$42,SMALL(IF("Documento no web"='03.Muestra'!$D$8:$D$42,ROW('03.Muestra'!$C$8:$C$42)-MIN(ROW('03.Muestra'!$D$8:$D$42))+1,""),ROW()-512)),"")</f>
        <v>Home - PortCastelló</v>
      </c>
      <c r="C513" s="114" t="str" cm="1">
        <f t="array" ref="C513">IFERROR(INDEX('03.Muestra'!$F$8:$F$42,SMALL(IF("Documento no web"='03.Muestra'!$D$8:$D$42,ROW('03.Muestra'!$F$8:$F$42)-MIN(ROW('03.Muestra'!$D$8:$D$42))+1,""),ROW()-512)),"")</f>
        <v>https://www.portcastello.com/</v>
      </c>
      <c r="D513" s="130" t="s">
        <v>33</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IFERROR(INDEX('03.Muestra'!$B$8:$B$42,SMALL(IF("Documento no web"='03.Muestra'!$D$8:$D$42,ROW('03.Muestra'!$B$8:$B$42)-MIN(ROW('03.Muestra'!$D$8:$D$42))+1,""),ROW()-512)),"")</f>
        <v>1.0</v>
      </c>
      <c r="B514" s="114" t="str" cm="1">
        <f t="array" ref="B514">IFERROR(INDEX('03.Muestra'!$C$8:$C$42,SMALL(IF("Documento no web"='03.Muestra'!$D$8:$D$42,ROW('03.Muestra'!$C$8:$C$42)-MIN(ROW('03.Muestra'!$D$8:$D$42))+1,""),ROW()-512)),"")</f>
        <v>Home - PortCastelló</v>
      </c>
      <c r="C514" s="114" t="str" cm="1">
        <f t="array" ref="C514">IFERROR(INDEX('03.Muestra'!$F$8:$F$42,SMALL(IF("Documento no web"='03.Muestra'!$D$8:$D$42,ROW('03.Muestra'!$F$8:$F$42)-MIN(ROW('03.Muestra'!$D$8:$D$42))+1,""),ROW()-512)),"")</f>
        <v>https://www.portcastello.com/</v>
      </c>
      <c r="D514" s="130" t="s">
        <v>33</v>
      </c>
      <c r="E514" s="107" t="str">
        <f t="shared" si="26"/>
        <v/>
      </c>
      <c r="F514" s="120" t="n">
        <f ca="1">COUNTIF($D513:INDIRECT("$D" &amp;  SUM(ROW()-1,'03.Muestra'!$D$45)-1),F513)</f>
        <v>2.0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IF(COUNTIF('03.Muestra'!$D$8:$D$42,"Documento no web")=0,0,COUNTBLANK($D513:INDIRECT("$D" &amp;  SUM(ROW()-1,COUNTIF('03.Muestra'!$D$8:$D$42,"Documento no web"))-1)))</f>
        <v>0.0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ref="D515:D547">IF(AND(B515&lt;&gt;"",C515&lt;&gt;""),"N/T","")</f>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268</v>
      </c>
      <c r="B550" s="24" t="s">
        <v>90</v>
      </c>
      <c r="C550" s="25" t="s">
        <v>436</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IFERROR(INDEX('03.Muestra'!$B$8:$B$42,SMALL(IF("Documento no web"='03.Muestra'!$D$8:$D$42,ROW('03.Muestra'!$B$8:$B$42)-MIN(ROW('03.Muestra'!$D$8:$D$42))+1,""),ROW()-550)),"")</f>
        <v>1.0</v>
      </c>
      <c r="B551" s="114" t="str" cm="1">
        <f t="array" ref="B551">IFERROR(INDEX('03.Muestra'!$C$8:$C$42,SMALL(IF("Documento no web"='03.Muestra'!$D$8:$D$42,ROW('03.Muestra'!$C$8:$C$42)-MIN(ROW('03.Muestra'!$D$8:$D$42))+1,""),ROW()-550)),"")</f>
        <v>Home - PortCastelló</v>
      </c>
      <c r="C551" s="114" t="str" cm="1">
        <f t="array" ref="C551">IFERROR(INDEX('03.Muestra'!$F$8:$F$42,SMALL(IF("Documento no web"='03.Muestra'!$D$8:$D$42,ROW('03.Muestra'!$F$8:$F$42)-MIN(ROW('03.Muestra'!$D$8:$D$42))+1,""),ROW()-550)),"")</f>
        <v>https://www.portcastello.com/</v>
      </c>
      <c r="D551" s="130" t="s">
        <v>33</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IFERROR(INDEX('03.Muestra'!$B$8:$B$42,SMALL(IF("Documento no web"='03.Muestra'!$D$8:$D$42,ROW('03.Muestra'!$B$8:$B$42)-MIN(ROW('03.Muestra'!$D$8:$D$42))+1,""),ROW()-550)),"")</f>
        <v>1.0</v>
      </c>
      <c r="B552" s="114" t="str" cm="1">
        <f t="array" ref="B552">IFERROR(INDEX('03.Muestra'!$C$8:$C$42,SMALL(IF("Documento no web"='03.Muestra'!$D$8:$D$42,ROW('03.Muestra'!$C$8:$C$42)-MIN(ROW('03.Muestra'!$D$8:$D$42))+1,""),ROW()-550)),"")</f>
        <v>Home - PortCastelló</v>
      </c>
      <c r="C552" s="114" t="str" cm="1">
        <f t="array" ref="C552">IFERROR(INDEX('03.Muestra'!$F$8:$F$42,SMALL(IF("Documento no web"='03.Muestra'!$D$8:$D$42,ROW('03.Muestra'!$F$8:$F$42)-MIN(ROW('03.Muestra'!$D$8:$D$42))+1,""),ROW()-550)),"")</f>
        <v>https://www.portcastello.com/</v>
      </c>
      <c r="D552" s="130" t="s">
        <v>33</v>
      </c>
      <c r="E552" s="107" t="str">
        <f t="shared" si="28"/>
        <v/>
      </c>
      <c r="F552" s="120" t="n">
        <f ca="1">COUNTIF($D551:INDIRECT("$D" &amp;  SUM(ROW()-1,'03.Muestra'!$D$45)-1),F551)</f>
        <v>2.0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IF(COUNTIF('03.Muestra'!$D$8:$D$42,"Documento no web")=0,0,COUNTBLANK($D551:INDIRECT("$D" &amp;  SUM(ROW()-1,COUNTIF('03.Muestra'!$D$8:$D$42,"Documento no web"))-1)))</f>
        <v>0.0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ref="D553:D585">IF(AND(B553&lt;&gt;"",C553&lt;&gt;""),"N/T","")</f>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268</v>
      </c>
      <c r="B588" s="24" t="s">
        <v>90</v>
      </c>
      <c r="C588" s="25" t="s">
        <v>437</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IFERROR(INDEX('03.Muestra'!$B$8:$B$42,SMALL(IF("Documento no web"='03.Muestra'!$D$8:$D$42,ROW('03.Muestra'!$B$8:$B$42)-MIN(ROW('03.Muestra'!$D$8:$D$42))+1,""),ROW()-588)),"")</f>
        <v>1.0</v>
      </c>
      <c r="B589" s="114" t="str" cm="1">
        <f t="array" ref="B589">IFERROR(INDEX('03.Muestra'!$C$8:$C$42,SMALL(IF("Documento no web"='03.Muestra'!$D$8:$D$42,ROW('03.Muestra'!$C$8:$C$42)-MIN(ROW('03.Muestra'!$D$8:$D$42))+1,""),ROW()-588)),"")</f>
        <v>Home - PortCastelló</v>
      </c>
      <c r="C589" s="114" t="str" cm="1">
        <f t="array" ref="C589">IFERROR(INDEX('03.Muestra'!$F$8:$F$42,SMALL(IF("Documento no web"='03.Muestra'!$D$8:$D$42,ROW('03.Muestra'!$F$8:$F$42)-MIN(ROW('03.Muestra'!$D$8:$D$42))+1,""),ROW()-588)),"")</f>
        <v>https://www.portcastello.com/</v>
      </c>
      <c r="D589" s="130" t="s">
        <v>33</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IFERROR(INDEX('03.Muestra'!$B$8:$B$42,SMALL(IF("Documento no web"='03.Muestra'!$D$8:$D$42,ROW('03.Muestra'!$B$8:$B$42)-MIN(ROW('03.Muestra'!$D$8:$D$42))+1,""),ROW()-588)),"")</f>
        <v>1.0</v>
      </c>
      <c r="B590" s="114" t="str" cm="1">
        <f t="array" ref="B590">IFERROR(INDEX('03.Muestra'!$C$8:$C$42,SMALL(IF("Documento no web"='03.Muestra'!$D$8:$D$42,ROW('03.Muestra'!$C$8:$C$42)-MIN(ROW('03.Muestra'!$D$8:$D$42))+1,""),ROW()-588)),"")</f>
        <v>Home - PortCastelló</v>
      </c>
      <c r="C590" s="114" t="str" cm="1">
        <f t="array" ref="C590">IFERROR(INDEX('03.Muestra'!$F$8:$F$42,SMALL(IF("Documento no web"='03.Muestra'!$D$8:$D$42,ROW('03.Muestra'!$F$8:$F$42)-MIN(ROW('03.Muestra'!$D$8:$D$42))+1,""),ROW()-588)),"")</f>
        <v>https://www.portcastello.com/</v>
      </c>
      <c r="D590" s="130" t="s">
        <v>33</v>
      </c>
      <c r="E590" s="107" t="str">
        <f t="shared" si="30"/>
        <v/>
      </c>
      <c r="F590" s="120" t="n">
        <f ca="1">COUNTIF($D589:INDIRECT("$D" &amp;  SUM(ROW()-1,'03.Muestra'!$D$45)-1),F589)</f>
        <v>2.0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IF(COUNTIF('03.Muestra'!$D$8:$D$42,"Documento no web")=0,0,COUNTBLANK($D589:INDIRECT("$D" &amp;  SUM(ROW()-1,COUNTIF('03.Muestra'!$D$8:$D$42,"Documento no web"))-1)))</f>
        <v>0.0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ref="D591:D623">IF(AND(B591&lt;&gt;"",C591&lt;&gt;""),"N/T","")</f>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65" customHeight="1">
      <c r="A626" s="218" t="s">
        <v>268</v>
      </c>
      <c r="B626" s="24" t="s">
        <v>90</v>
      </c>
      <c r="C626" s="25" t="s">
        <v>438</v>
      </c>
      <c r="D626" s="26" t="s">
        <v>32</v>
      </c>
      <c r="E626" s="123"/>
      <c r="K626" s="233"/>
      <c r="L626" s="19"/>
      <c r="M626" s="19"/>
      <c r="N626" s="19"/>
      <c r="O626" s="19"/>
      <c r="P626" s="19"/>
      <c r="Q626" s="19"/>
      <c r="R626" s="19"/>
      <c r="S626" s="19"/>
      <c r="T626" s="19"/>
      <c r="U626" s="19"/>
      <c r="V626" s="19"/>
      <c r="W626" s="19"/>
      <c r="X626" s="19"/>
      <c r="Y626" s="19"/>
    </row>
    <row r="627" spans="1:25" ht="13.15" customHeight="1">
      <c r="A627" s="219" t="n" cm="1">
        <f t="array" ref="A627">IFERROR(INDEX('03.Muestra'!$B$8:$B$42,SMALL(IF("Documento no web"='03.Muestra'!$D$8:$D$42,ROW('03.Muestra'!$B$8:$B$42)-MIN(ROW('03.Muestra'!$D$8:$D$42))+1,""),ROW()-626)),"")</f>
        <v>1.0</v>
      </c>
      <c r="B627" s="114" t="str" cm="1">
        <f t="array" ref="B627">IFERROR(INDEX('03.Muestra'!$C$8:$C$42,SMALL(IF("Documento no web"='03.Muestra'!$D$8:$D$42,ROW('03.Muestra'!$C$8:$C$42)-MIN(ROW('03.Muestra'!$D$8:$D$42))+1,""),ROW()-626)),"")</f>
        <v>Home - PortCastelló</v>
      </c>
      <c r="C627" s="114" t="str" cm="1">
        <f t="array" ref="C627">IFERROR(INDEX('03.Muestra'!$F$8:$F$42,SMALL(IF("Documento no web"='03.Muestra'!$D$8:$D$42,ROW('03.Muestra'!$F$8:$F$42)-MIN(ROW('03.Muestra'!$D$8:$D$42))+1,""),ROW()-626)),"")</f>
        <v>https://www.portcastello.com/</v>
      </c>
      <c r="D627" s="130" t="s">
        <v>33</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3.15" customHeight="1">
      <c r="A628" s="219" t="n" cm="1">
        <f t="array" ref="A628">IFERROR(INDEX('03.Muestra'!$B$8:$B$42,SMALL(IF("Documento no web"='03.Muestra'!$D$8:$D$42,ROW('03.Muestra'!$B$8:$B$42)-MIN(ROW('03.Muestra'!$D$8:$D$42))+1,""),ROW()-626)),"")</f>
        <v>1.0</v>
      </c>
      <c r="B628" s="114" t="str" cm="1">
        <f t="array" ref="B628">IFERROR(INDEX('03.Muestra'!$C$8:$C$42,SMALL(IF("Documento no web"='03.Muestra'!$D$8:$D$42,ROW('03.Muestra'!$C$8:$C$42)-MIN(ROW('03.Muestra'!$D$8:$D$42))+1,""),ROW()-626)),"")</f>
        <v>Home - PortCastelló</v>
      </c>
      <c r="C628" s="114" t="str" cm="1">
        <f t="array" ref="C628">IFERROR(INDEX('03.Muestra'!$F$8:$F$42,SMALL(IF("Documento no web"='03.Muestra'!$D$8:$D$42,ROW('03.Muestra'!$F$8:$F$42)-MIN(ROW('03.Muestra'!$D$8:$D$42))+1,""),ROW()-626)),"")</f>
        <v>https://www.portcastello.com/</v>
      </c>
      <c r="D628" s="130" t="s">
        <v>33</v>
      </c>
      <c r="E628" s="107" t="str">
        <f t="shared" si="32"/>
        <v/>
      </c>
      <c r="F628" s="120" t="n">
        <f ca="1">COUNTIF($D627:INDIRECT("$D" &amp;  SUM(ROW()-1,'03.Muestra'!$D$45)-1),F627)</f>
        <v>2.0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IF(COUNTIF('03.Muestra'!$D$8:$D$42,"Documento no web")=0,0,COUNTBLANK($D627:INDIRECT("$D" &amp;  SUM(ROW()-1,COUNTIF('03.Muestra'!$D$8:$D$42,"Documento no web"))-1)))</f>
        <v>0.0</v>
      </c>
      <c r="L628" s="19"/>
      <c r="M628" s="19"/>
      <c r="N628" s="19"/>
      <c r="O628" s="19"/>
      <c r="P628" s="19"/>
      <c r="Q628" s="19"/>
      <c r="R628" s="19"/>
      <c r="S628" s="19"/>
      <c r="T628" s="19"/>
      <c r="U628" s="19"/>
      <c r="V628" s="19"/>
      <c r="W628" s="19"/>
      <c r="X628" s="19"/>
      <c r="Y628" s="19"/>
    </row>
    <row r="629" spans="1:25" ht="13.1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ref="D629:D661">IF(AND(B629&lt;&gt;"",C629&lt;&gt;""),"N/T","")</f>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1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1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1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1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1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1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1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1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1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1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1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1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1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1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1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1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1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1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1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1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1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65" customHeight="1">
      <c r="A664" s="218" t="s">
        <v>268</v>
      </c>
      <c r="B664" s="24" t="s">
        <v>90</v>
      </c>
      <c r="C664" s="25" t="s">
        <v>439</v>
      </c>
      <c r="D664" s="26" t="s">
        <v>32</v>
      </c>
      <c r="E664" s="123"/>
      <c r="K664" s="233"/>
      <c r="L664" s="19"/>
      <c r="M664" s="19"/>
      <c r="N664" s="19"/>
      <c r="O664" s="19"/>
      <c r="P664" s="19"/>
      <c r="Q664" s="19"/>
      <c r="R664" s="19"/>
      <c r="S664" s="19"/>
      <c r="T664" s="19"/>
      <c r="U664" s="19"/>
      <c r="V664" s="19"/>
      <c r="W664" s="19"/>
      <c r="X664" s="19"/>
      <c r="Y664" s="19"/>
    </row>
    <row r="665" spans="1:25" ht="14.1" customHeight="1">
      <c r="A665" s="219" t="n" cm="1">
        <f t="array" ref="A665">IFERROR(INDEX('03.Muestra'!$B$8:$B$42,SMALL(IF("Documento no web"='03.Muestra'!$D$8:$D$42,ROW('03.Muestra'!$B$8:$B$42)-MIN(ROW('03.Muestra'!$D$8:$D$42))+1,""),ROW()-664)),"")</f>
        <v>1.0</v>
      </c>
      <c r="B665" s="114" t="str" cm="1">
        <f t="array" ref="B665">IFERROR(INDEX('03.Muestra'!$C$8:$C$42,SMALL(IF("Documento no web"='03.Muestra'!$D$8:$D$42,ROW('03.Muestra'!$C$8:$C$42)-MIN(ROW('03.Muestra'!$D$8:$D$42))+1,""),ROW()-664)),"")</f>
        <v>Home - PortCastelló</v>
      </c>
      <c r="C665" s="114" t="str" cm="1">
        <f t="array" ref="C665">IFERROR(INDEX('03.Muestra'!$F$8:$F$42,SMALL(IF("Documento no web"='03.Muestra'!$D$8:$D$42,ROW('03.Muestra'!$F$8:$F$42)-MIN(ROW('03.Muestra'!$D$8:$D$42))+1,""),ROW()-664)),"")</f>
        <v>https://www.portcastello.com/</v>
      </c>
      <c r="D665" s="130" t="s">
        <v>33</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4.1" customHeight="1">
      <c r="A666" s="219" t="n" cm="1">
        <f t="array" ref="A666">IFERROR(INDEX('03.Muestra'!$B$8:$B$42,SMALL(IF("Documento no web"='03.Muestra'!$D$8:$D$42,ROW('03.Muestra'!$B$8:$B$42)-MIN(ROW('03.Muestra'!$D$8:$D$42))+1,""),ROW()-664)),"")</f>
        <v>1.0</v>
      </c>
      <c r="B666" s="114" t="str" cm="1">
        <f t="array" ref="B666">IFERROR(INDEX('03.Muestra'!$C$8:$C$42,SMALL(IF("Documento no web"='03.Muestra'!$D$8:$D$42,ROW('03.Muestra'!$C$8:$C$42)-MIN(ROW('03.Muestra'!$D$8:$D$42))+1,""),ROW()-664)),"")</f>
        <v>Home - PortCastelló</v>
      </c>
      <c r="C666" s="114" t="str" cm="1">
        <f t="array" ref="C666">IFERROR(INDEX('03.Muestra'!$F$8:$F$42,SMALL(IF("Documento no web"='03.Muestra'!$D$8:$D$42,ROW('03.Muestra'!$F$8:$F$42)-MIN(ROW('03.Muestra'!$D$8:$D$42))+1,""),ROW()-664)),"")</f>
        <v>https://www.portcastello.com/</v>
      </c>
      <c r="D666" s="130" t="s">
        <v>33</v>
      </c>
      <c r="E666" s="107" t="str">
        <f t="shared" si="34"/>
        <v/>
      </c>
      <c r="F666" s="120" t="n">
        <f ca="1">COUNTIF($D665:INDIRECT("$D" &amp;  SUM(ROW()-1,'03.Muestra'!$D$45)-1),F665)</f>
        <v>2.0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IF(COUNTIF('03.Muestra'!$D$8:$D$42,"Documento no web")=0,0,COUNTBLANK($D665:INDIRECT("$D" &amp;  SUM(ROW()-1,COUNTIF('03.Muestra'!$D$8:$D$42,"Documento no web"))-1)))</f>
        <v>0.0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ref="D667:D699">IF(AND(B667&lt;&gt;"",C667&lt;&gt;""),"N/T","")</f>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 customHeight="1">
      <c r="A702" s="218" t="s">
        <v>268</v>
      </c>
      <c r="B702" s="24" t="s">
        <v>90</v>
      </c>
      <c r="C702" s="25" t="s">
        <v>440</v>
      </c>
      <c r="D702" s="26" t="s">
        <v>32</v>
      </c>
      <c r="E702" s="123"/>
      <c r="J702" s="125"/>
      <c r="K702" s="233"/>
      <c r="L702" s="19"/>
      <c r="M702" s="19"/>
      <c r="N702" s="19"/>
      <c r="O702" s="19"/>
      <c r="P702" s="19"/>
      <c r="Q702" s="19"/>
      <c r="R702" s="19"/>
      <c r="S702" s="19"/>
      <c r="T702" s="19"/>
      <c r="U702" s="19"/>
      <c r="V702" s="19"/>
      <c r="W702" s="19"/>
      <c r="X702" s="19"/>
      <c r="Y702" s="19"/>
    </row>
    <row r="703" spans="1:25" ht="14.1" customHeight="1">
      <c r="A703" s="219" t="n" cm="1">
        <f t="array" ref="A703">IFERROR(INDEX('03.Muestra'!$B$8:$B$42,SMALL(IF("Documento no web"='03.Muestra'!$D$8:$D$42,ROW('03.Muestra'!$B$8:$B$42)-MIN(ROW('03.Muestra'!$D$8:$D$42))+1,""),ROW()-702)),"")</f>
        <v>1.0</v>
      </c>
      <c r="B703" s="114" t="str" cm="1">
        <f t="array" ref="B703">IFERROR(INDEX('03.Muestra'!$C$8:$C$42,SMALL(IF("Documento no web"='03.Muestra'!$D$8:$D$42,ROW('03.Muestra'!$C$8:$C$42)-MIN(ROW('03.Muestra'!$D$8:$D$42))+1,""),ROW()-702)),"")</f>
        <v>Home - PortCastelló</v>
      </c>
      <c r="C703" s="114" t="str" cm="1">
        <f t="array" ref="C703">IFERROR(INDEX('03.Muestra'!$F$8:$F$42,SMALL(IF("Documento no web"='03.Muestra'!$D$8:$D$42,ROW('03.Muestra'!$F$8:$F$42)-MIN(ROW('03.Muestra'!$D$8:$D$42))+1,""),ROW()-702)),"")</f>
        <v>https://www.portcastello.com/</v>
      </c>
      <c r="D703" s="130" t="s">
        <v>33</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4.1" customHeight="1">
      <c r="A704" s="219" t="n" cm="1">
        <f t="array" ref="A704">IFERROR(INDEX('03.Muestra'!$B$8:$B$42,SMALL(IF("Documento no web"='03.Muestra'!$D$8:$D$42,ROW('03.Muestra'!$B$8:$B$42)-MIN(ROW('03.Muestra'!$D$8:$D$42))+1,""),ROW()-702)),"")</f>
        <v>1.0</v>
      </c>
      <c r="B704" s="114" t="str" cm="1">
        <f t="array" ref="B704">IFERROR(INDEX('03.Muestra'!$C$8:$C$42,SMALL(IF("Documento no web"='03.Muestra'!$D$8:$D$42,ROW('03.Muestra'!$C$8:$C$42)-MIN(ROW('03.Muestra'!$D$8:$D$42))+1,""),ROW()-702)),"")</f>
        <v>Home - PortCastelló</v>
      </c>
      <c r="C704" s="114" t="str" cm="1">
        <f t="array" ref="C704">IFERROR(INDEX('03.Muestra'!$F$8:$F$42,SMALL(IF("Documento no web"='03.Muestra'!$D$8:$D$42,ROW('03.Muestra'!$F$8:$F$42)-MIN(ROW('03.Muestra'!$D$8:$D$42))+1,""),ROW()-702)),"")</f>
        <v>https://www.portcastello.com/</v>
      </c>
      <c r="D704" s="130" t="s">
        <v>33</v>
      </c>
      <c r="E704" s="107" t="str">
        <f t="shared" si="36"/>
        <v/>
      </c>
      <c r="F704" s="120" t="n">
        <f ca="1">COUNTIF($D703:INDIRECT("$D" &amp;  SUM(ROW()-1,'03.Muestra'!$D$45)-1),F703)</f>
        <v>2.0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IF(COUNTIF('03.Muestra'!$D$8:$D$42,"Documento no web")=0,0,COUNTBLANK($D703:INDIRECT("$D" &amp;  SUM(ROW()-1,COUNTIF('03.Muestra'!$D$8:$D$42,"Documento no web"))-1)))</f>
        <v>0.0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ref="D705:D737">IF(AND(B705&lt;&gt;"",C705&lt;&gt;""),"N/T","")</f>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268</v>
      </c>
      <c r="B740" s="24" t="s">
        <v>90</v>
      </c>
      <c r="C740" s="25" t="s">
        <v>441</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IFERROR(INDEX('03.Muestra'!$B$8:$B$42,SMALL(IF("Documento no web"='03.Muestra'!$D$8:$D$42,ROW('03.Muestra'!$B$8:$B$42)-MIN(ROW('03.Muestra'!$D$8:$D$42))+1,""),ROW()-740)),"")</f>
        <v>1.0</v>
      </c>
      <c r="B741" s="114" t="str" cm="1">
        <f t="array" ref="B741">IFERROR(INDEX('03.Muestra'!$C$8:$C$42,SMALL(IF("Documento no web"='03.Muestra'!$D$8:$D$42,ROW('03.Muestra'!$C$8:$C$42)-MIN(ROW('03.Muestra'!$D$8:$D$42))+1,""),ROW()-740)),"")</f>
        <v>Home - PortCastelló</v>
      </c>
      <c r="C741" s="114" t="str" cm="1">
        <f t="array" ref="C741">IFERROR(INDEX('03.Muestra'!$F$8:$F$42,SMALL(IF("Documento no web"='03.Muestra'!$D$8:$D$42,ROW('03.Muestra'!$F$8:$F$42)-MIN(ROW('03.Muestra'!$D$8:$D$42))+1,""),ROW()-740)),"")</f>
        <v>https://www.portcastello.com/</v>
      </c>
      <c r="D741" s="130" t="s">
        <v>33</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IFERROR(INDEX('03.Muestra'!$B$8:$B$42,SMALL(IF("Documento no web"='03.Muestra'!$D$8:$D$42,ROW('03.Muestra'!$B$8:$B$42)-MIN(ROW('03.Muestra'!$D$8:$D$42))+1,""),ROW()-740)),"")</f>
        <v>1.0</v>
      </c>
      <c r="B742" s="114" t="str" cm="1">
        <f t="array" ref="B742">IFERROR(INDEX('03.Muestra'!$C$8:$C$42,SMALL(IF("Documento no web"='03.Muestra'!$D$8:$D$42,ROW('03.Muestra'!$C$8:$C$42)-MIN(ROW('03.Muestra'!$D$8:$D$42))+1,""),ROW()-740)),"")</f>
        <v>Home - PortCastelló</v>
      </c>
      <c r="C742" s="114" t="str" cm="1">
        <f t="array" ref="C742">IFERROR(INDEX('03.Muestra'!$F$8:$F$42,SMALL(IF("Documento no web"='03.Muestra'!$D$8:$D$42,ROW('03.Muestra'!$F$8:$F$42)-MIN(ROW('03.Muestra'!$D$8:$D$42))+1,""),ROW()-740)),"")</f>
        <v>https://www.portcastello.com/</v>
      </c>
      <c r="D742" s="130" t="s">
        <v>33</v>
      </c>
      <c r="E742" s="107" t="str">
        <f t="shared" si="38"/>
        <v/>
      </c>
      <c r="F742" s="120" t="n">
        <f ca="1">COUNTIF($D741:INDIRECT("$D" &amp;  SUM(ROW()-1,'03.Muestra'!$D$45)-1),F741)</f>
        <v>2.0</v>
      </c>
      <c r="G742" s="120" t="n">
        <f ca="1">COUNTIF($D741:INDIRECT("$D" &amp;  SUM(ROW()-1,'03.Muestra'!$D$45)-1),G741)</f>
        <v>0.0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IF(COUNTIF('03.Muestra'!$D$8:$D$42,"Documento no web")=0,0,COUNTBLANK($D741:INDIRECT("$D" &amp;  SUM(ROW()-1,COUNTIF('03.Muestra'!$D$8:$D$42,"Documento no web"))-1)))</f>
        <v>0.0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ref="D743:D775">IF(AND(B743&lt;&gt;"",C743&lt;&gt;""),"N/T","")</f>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268</v>
      </c>
      <c r="B778" s="24" t="s">
        <v>90</v>
      </c>
      <c r="C778" s="25" t="s">
        <v>442</v>
      </c>
      <c r="D778" s="26" t="s">
        <v>32</v>
      </c>
      <c r="E778" s="123"/>
      <c r="K778" s="233"/>
      <c r="L778" s="19"/>
      <c r="M778" s="19"/>
      <c r="N778" s="19"/>
      <c r="O778" s="19"/>
      <c r="P778" s="19"/>
      <c r="Q778" s="19"/>
      <c r="R778" s="19"/>
      <c r="S778" s="19"/>
      <c r="T778" s="19"/>
      <c r="U778" s="19"/>
      <c r="V778" s="19"/>
      <c r="W778" s="19"/>
      <c r="X778" s="19"/>
      <c r="Y778" s="19"/>
    </row>
    <row r="779" spans="1:25" ht="13.5" customHeight="1">
      <c r="A779" s="219" t="n" cm="1">
        <f t="array" ref="A779">IFERROR(INDEX('03.Muestra'!$B$8:$B$42,SMALL(IF("Documento no web"='03.Muestra'!$D$8:$D$42,ROW('03.Muestra'!$B$8:$B$42)-MIN(ROW('03.Muestra'!$D$8:$D$42))+1,""),ROW()-778)),"")</f>
        <v>1.0</v>
      </c>
      <c r="B779" s="114" t="str" cm="1">
        <f t="array" ref="B779">IFERROR(INDEX('03.Muestra'!$C$8:$C$42,SMALL(IF("Documento no web"='03.Muestra'!$D$8:$D$42,ROW('03.Muestra'!$C$8:$C$42)-MIN(ROW('03.Muestra'!$D$8:$D$42))+1,""),ROW()-778)),"")</f>
        <v>Home - PortCastelló</v>
      </c>
      <c r="C779" s="114" t="str" cm="1">
        <f t="array" ref="C779">IFERROR(INDEX('03.Muestra'!$F$8:$F$42,SMALL(IF("Documento no web"='03.Muestra'!$D$8:$D$42,ROW('03.Muestra'!$F$8:$F$42)-MIN(ROW('03.Muestra'!$D$8:$D$42))+1,""),ROW()-778)),"")</f>
        <v>https://www.portcastello.com/</v>
      </c>
      <c r="D779" s="130" t="s">
        <v>33</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3.5" customHeight="1">
      <c r="A780" s="219" t="n" cm="1">
        <f t="array" ref="A780">IFERROR(INDEX('03.Muestra'!$B$8:$B$42,SMALL(IF("Documento no web"='03.Muestra'!$D$8:$D$42,ROW('03.Muestra'!$B$8:$B$42)-MIN(ROW('03.Muestra'!$D$8:$D$42))+1,""),ROW()-778)),"")</f>
        <v>1.0</v>
      </c>
      <c r="B780" s="114" t="str" cm="1">
        <f t="array" ref="B780">IFERROR(INDEX('03.Muestra'!$C$8:$C$42,SMALL(IF("Documento no web"='03.Muestra'!$D$8:$D$42,ROW('03.Muestra'!$C$8:$C$42)-MIN(ROW('03.Muestra'!$D$8:$D$42))+1,""),ROW()-778)),"")</f>
        <v>Home - PortCastelló</v>
      </c>
      <c r="C780" s="114" t="str" cm="1">
        <f t="array" ref="C780">IFERROR(INDEX('03.Muestra'!$F$8:$F$42,SMALL(IF("Documento no web"='03.Muestra'!$D$8:$D$42,ROW('03.Muestra'!$F$8:$F$42)-MIN(ROW('03.Muestra'!$D$8:$D$42))+1,""),ROW()-778)),"")</f>
        <v>https://www.portcastello.com/</v>
      </c>
      <c r="D780" s="130" t="s">
        <v>33</v>
      </c>
      <c r="E780" s="107" t="str">
        <f t="shared" si="40"/>
        <v/>
      </c>
      <c r="F780" s="120" t="n">
        <f ca="1">COUNTIF($D779:INDIRECT("$D" &amp;  SUM(ROW()-1,'03.Muestra'!$D$45)-1),F779)</f>
        <v>2.0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IF(COUNTIF('03.Muestra'!$D$8:$D$42,"Documento no web")=0,0,COUNTBLANK($D779:INDIRECT("$D" &amp;  SUM(ROW()-1,COUNTIF('03.Muestra'!$D$8:$D$42,"Documento no web"))-1)))</f>
        <v>0.0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ref="D781:D813">IF(AND(B781&lt;&gt;"",C781&lt;&gt;""),"N/T","")</f>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268</v>
      </c>
      <c r="B816" s="24" t="s">
        <v>90</v>
      </c>
      <c r="C816" s="25" t="s">
        <v>443</v>
      </c>
      <c r="D816" s="26" t="s">
        <v>32</v>
      </c>
      <c r="E816" s="123"/>
      <c r="K816" s="233"/>
      <c r="L816" s="19"/>
      <c r="M816" s="19"/>
      <c r="N816" s="19"/>
      <c r="O816" s="19"/>
      <c r="P816" s="19"/>
      <c r="Q816" s="19"/>
      <c r="R816" s="19"/>
      <c r="S816" s="19"/>
      <c r="T816" s="19"/>
      <c r="U816" s="19"/>
      <c r="V816" s="19"/>
      <c r="W816" s="19"/>
      <c r="X816" s="19"/>
      <c r="Y816" s="19"/>
    </row>
    <row r="817" spans="1:25" ht="13.5" customHeight="1">
      <c r="A817" s="219" t="n" cm="1">
        <f t="array" ref="A817">IFERROR(INDEX('03.Muestra'!$B$8:$B$42,SMALL(IF("Documento no web"='03.Muestra'!$D$8:$D$42,ROW('03.Muestra'!$B$8:$B$42)-MIN(ROW('03.Muestra'!$D$8:$D$42))+1,""),ROW()-816)),"")</f>
        <v>1.0</v>
      </c>
      <c r="B817" s="114" t="str" cm="1">
        <f t="array" ref="B817">IFERROR(INDEX('03.Muestra'!$C$8:$C$42,SMALL(IF("Documento no web"='03.Muestra'!$D$8:$D$42,ROW('03.Muestra'!$C$8:$C$42)-MIN(ROW('03.Muestra'!$D$8:$D$42))+1,""),ROW()-816)),"")</f>
        <v>Home - PortCastelló</v>
      </c>
      <c r="C817" s="114" t="str" cm="1">
        <f t="array" ref="C817">IFERROR(INDEX('03.Muestra'!$F$8:$F$42,SMALL(IF("Documento no web"='03.Muestra'!$D$8:$D$42,ROW('03.Muestra'!$F$8:$F$42)-MIN(ROW('03.Muestra'!$D$8:$D$42))+1,""),ROW()-816)),"")</f>
        <v>https://www.portcastello.com/</v>
      </c>
      <c r="D817" s="130" t="s">
        <v>33</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3.5" customHeight="1">
      <c r="A818" s="219" t="n" cm="1">
        <f t="array" ref="A818">IFERROR(INDEX('03.Muestra'!$B$8:$B$42,SMALL(IF("Documento no web"='03.Muestra'!$D$8:$D$42,ROW('03.Muestra'!$B$8:$B$42)-MIN(ROW('03.Muestra'!$D$8:$D$42))+1,""),ROW()-816)),"")</f>
        <v>1.0</v>
      </c>
      <c r="B818" s="114" t="str" cm="1">
        <f t="array" ref="B818">IFERROR(INDEX('03.Muestra'!$C$8:$C$42,SMALL(IF("Documento no web"='03.Muestra'!$D$8:$D$42,ROW('03.Muestra'!$C$8:$C$42)-MIN(ROW('03.Muestra'!$D$8:$D$42))+1,""),ROW()-816)),"")</f>
        <v>Home - PortCastelló</v>
      </c>
      <c r="C818" s="114" t="str" cm="1">
        <f t="array" ref="C818">IFERROR(INDEX('03.Muestra'!$F$8:$F$42,SMALL(IF("Documento no web"='03.Muestra'!$D$8:$D$42,ROW('03.Muestra'!$F$8:$F$42)-MIN(ROW('03.Muestra'!$D$8:$D$42))+1,""),ROW()-816)),"")</f>
        <v>https://www.portcastello.com/</v>
      </c>
      <c r="D818" s="130" t="s">
        <v>33</v>
      </c>
      <c r="E818" s="107" t="str">
        <f t="shared" si="42"/>
        <v/>
      </c>
      <c r="F818" s="120" t="n">
        <f ca="1">COUNTIF($D817:INDIRECT("$D" &amp;  SUM(ROW()-1,'03.Muestra'!$D$45)-1),F817)</f>
        <v>2.0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IF(COUNTIF('03.Muestra'!$D$8:$D$42,"Documento no web")=0,0,COUNTBLANK($D817:INDIRECT("$D" &amp;  SUM(ROW()-1,COUNTIF('03.Muestra'!$D$8:$D$42,"Documento no web"))-1)))</f>
        <v>0.0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ref="D819:D851">IF(AND(B819&lt;&gt;"",C819&lt;&gt;""),"N/T","")</f>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268</v>
      </c>
      <c r="B854" s="24" t="s">
        <v>90</v>
      </c>
      <c r="C854" s="25" t="s">
        <v>444</v>
      </c>
      <c r="D854" s="26" t="s">
        <v>32</v>
      </c>
      <c r="E854" s="123"/>
      <c r="K854" s="233"/>
      <c r="L854" s="19"/>
      <c r="M854" s="19"/>
      <c r="N854" s="19"/>
      <c r="O854" s="19"/>
      <c r="P854" s="19"/>
      <c r="Q854" s="19"/>
      <c r="R854" s="19"/>
      <c r="S854" s="19"/>
      <c r="T854" s="19"/>
      <c r="U854" s="19"/>
      <c r="V854" s="19"/>
      <c r="W854" s="19"/>
      <c r="X854" s="19"/>
      <c r="Y854" s="19"/>
    </row>
    <row r="855" spans="1:25" ht="13.5" customHeight="1">
      <c r="A855" s="219" t="n" cm="1">
        <f t="array" ref="A855">IFERROR(INDEX('03.Muestra'!$B$8:$B$42,SMALL(IF("Documento no web"='03.Muestra'!$D$8:$D$42,ROW('03.Muestra'!$B$8:$B$42)-MIN(ROW('03.Muestra'!$D$8:$D$42))+1,""),ROW()-854)),"")</f>
        <v>1.0</v>
      </c>
      <c r="B855" s="114" t="str" cm="1">
        <f t="array" ref="B855">IFERROR(INDEX('03.Muestra'!$C$8:$C$42,SMALL(IF("Documento no web"='03.Muestra'!$D$8:$D$42,ROW('03.Muestra'!$C$8:$C$42)-MIN(ROW('03.Muestra'!$D$8:$D$42))+1,""),ROW()-854)),"")</f>
        <v>Home - PortCastelló</v>
      </c>
      <c r="C855" s="114" t="str" cm="1">
        <f t="array" ref="C855">IFERROR(INDEX('03.Muestra'!$F$8:$F$42,SMALL(IF("Documento no web"='03.Muestra'!$D$8:$D$42,ROW('03.Muestra'!$F$8:$F$42)-MIN(ROW('03.Muestra'!$D$8:$D$42))+1,""),ROW()-854)),"")</f>
        <v>https://www.portcastello.com/</v>
      </c>
      <c r="D855" s="130" t="s">
        <v>33</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3.5" customHeight="1">
      <c r="A856" s="219" t="n" cm="1">
        <f t="array" ref="A856">IFERROR(INDEX('03.Muestra'!$B$8:$B$42,SMALL(IF("Documento no web"='03.Muestra'!$D$8:$D$42,ROW('03.Muestra'!$B$8:$B$42)-MIN(ROW('03.Muestra'!$D$8:$D$42))+1,""),ROW()-854)),"")</f>
        <v>1.0</v>
      </c>
      <c r="B856" s="114" t="str" cm="1">
        <f t="array" ref="B856">IFERROR(INDEX('03.Muestra'!$C$8:$C$42,SMALL(IF("Documento no web"='03.Muestra'!$D$8:$D$42,ROW('03.Muestra'!$C$8:$C$42)-MIN(ROW('03.Muestra'!$D$8:$D$42))+1,""),ROW()-854)),"")</f>
        <v>Home - PortCastelló</v>
      </c>
      <c r="C856" s="114" t="str" cm="1">
        <f t="array" ref="C856">IFERROR(INDEX('03.Muestra'!$F$8:$F$42,SMALL(IF("Documento no web"='03.Muestra'!$D$8:$D$42,ROW('03.Muestra'!$F$8:$F$42)-MIN(ROW('03.Muestra'!$D$8:$D$42))+1,""),ROW()-854)),"")</f>
        <v>https://www.portcastello.com/</v>
      </c>
      <c r="D856" s="130" t="s">
        <v>33</v>
      </c>
      <c r="E856" s="107" t="str">
        <f t="shared" si="44"/>
        <v/>
      </c>
      <c r="F856" s="120" t="n">
        <f ca="1">COUNTIF($D855:INDIRECT("$D" &amp;  SUM(ROW()-1,'03.Muestra'!$D$45)-1),F855)</f>
        <v>2.0</v>
      </c>
      <c r="G856" s="120" t="n">
        <f ca="1">COUNTIF($D855:INDIRECT("$D" &amp;  SUM(ROW()-1,'03.Muestra'!$D$45)-1),G855)</f>
        <v>0.0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IF(COUNTIF('03.Muestra'!$D$8:$D$42,"Documento no web")=0,0,COUNTBLANK($D855:INDIRECT("$D" &amp;  SUM(ROW()-1,COUNTIF('03.Muestra'!$D$8:$D$42,"Documento no web"))-1)))</f>
        <v>0.0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ref="D857:D889">IF(AND(B857&lt;&gt;"",C857&lt;&gt;""),"N/T","")</f>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268</v>
      </c>
      <c r="B892" s="24" t="s">
        <v>90</v>
      </c>
      <c r="C892" s="25" t="s">
        <v>445</v>
      </c>
      <c r="D892" s="26" t="s">
        <v>32</v>
      </c>
      <c r="E892" s="123"/>
      <c r="K892" s="233"/>
      <c r="L892" s="19"/>
      <c r="M892" s="19"/>
      <c r="N892" s="19"/>
      <c r="O892" s="19"/>
      <c r="P892" s="19"/>
      <c r="Q892" s="19"/>
      <c r="R892" s="19"/>
      <c r="S892" s="19"/>
      <c r="T892" s="19"/>
      <c r="U892" s="19"/>
      <c r="V892" s="19"/>
      <c r="W892" s="19"/>
      <c r="X892" s="19"/>
      <c r="Y892" s="19"/>
    </row>
    <row r="893" spans="1:25" ht="13.5" customHeight="1">
      <c r="A893" s="219" t="n" cm="1">
        <f t="array" ref="A893">IFERROR(INDEX('03.Muestra'!$B$8:$B$42,SMALL(IF("Documento no web"='03.Muestra'!$D$8:$D$42,ROW('03.Muestra'!$B$8:$B$42)-MIN(ROW('03.Muestra'!$D$8:$D$42))+1,""),ROW()-892)),"")</f>
        <v>1.0</v>
      </c>
      <c r="B893" s="114" t="str" cm="1">
        <f t="array" ref="B893">IFERROR(INDEX('03.Muestra'!$C$8:$C$42,SMALL(IF("Documento no web"='03.Muestra'!$D$8:$D$42,ROW('03.Muestra'!$C$8:$C$42)-MIN(ROW('03.Muestra'!$D$8:$D$42))+1,""),ROW()-892)),"")</f>
        <v>Home - PortCastelló</v>
      </c>
      <c r="C893" s="114" t="str" cm="1">
        <f t="array" ref="C893">IFERROR(INDEX('03.Muestra'!$F$8:$F$42,SMALL(IF("Documento no web"='03.Muestra'!$D$8:$D$42,ROW('03.Muestra'!$F$8:$F$42)-MIN(ROW('03.Muestra'!$D$8:$D$42))+1,""),ROW()-892)),"")</f>
        <v>https://www.portcastello.com/</v>
      </c>
      <c r="D893" s="130" t="s">
        <v>33</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3.5" customHeight="1">
      <c r="A894" s="219" t="n" cm="1">
        <f t="array" ref="A894">IFERROR(INDEX('03.Muestra'!$B$8:$B$42,SMALL(IF("Documento no web"='03.Muestra'!$D$8:$D$42,ROW('03.Muestra'!$B$8:$B$42)-MIN(ROW('03.Muestra'!$D$8:$D$42))+1,""),ROW()-892)),"")</f>
        <v>1.0</v>
      </c>
      <c r="B894" s="114" t="str" cm="1">
        <f t="array" ref="B894">IFERROR(INDEX('03.Muestra'!$C$8:$C$42,SMALL(IF("Documento no web"='03.Muestra'!$D$8:$D$42,ROW('03.Muestra'!$C$8:$C$42)-MIN(ROW('03.Muestra'!$D$8:$D$42))+1,""),ROW()-892)),"")</f>
        <v>Home - PortCastelló</v>
      </c>
      <c r="C894" s="114" t="str" cm="1">
        <f t="array" ref="C894">IFERROR(INDEX('03.Muestra'!$F$8:$F$42,SMALL(IF("Documento no web"='03.Muestra'!$D$8:$D$42,ROW('03.Muestra'!$F$8:$F$42)-MIN(ROW('03.Muestra'!$D$8:$D$42))+1,""),ROW()-892)),"")</f>
        <v>https://www.portcastello.com/</v>
      </c>
      <c r="D894" s="130" t="s">
        <v>33</v>
      </c>
      <c r="E894" s="107" t="str">
        <f t="shared" si="46"/>
        <v/>
      </c>
      <c r="F894" s="120" t="n">
        <f ca="1">COUNTIF($D893:INDIRECT("$D" &amp;  SUM(ROW()-1,'03.Muestra'!$D$45)-1),F893)</f>
        <v>2.0</v>
      </c>
      <c r="G894" s="120" t="n">
        <f ca="1">COUNTIF($D893:INDIRECT("$D" &amp;  SUM(ROW()-1,'03.Muestra'!$D$45)-1),G893)</f>
        <v>0.0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IF(COUNTIF('03.Muestra'!$D$8:$D$42,"Documento no web")=0,0,COUNTBLANK($D893:INDIRECT("$D" &amp;  SUM(ROW()-1,COUNTIF('03.Muestra'!$D$8:$D$42,"Documento no web"))-1)))</f>
        <v>0.0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ref="D895:D927">IF(AND(B895&lt;&gt;"",C895&lt;&gt;""),"N/T","")</f>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268</v>
      </c>
      <c r="B930" s="24" t="s">
        <v>90</v>
      </c>
      <c r="C930" s="25" t="s">
        <v>446</v>
      </c>
      <c r="D930" s="26" t="s">
        <v>32</v>
      </c>
      <c r="E930" s="123"/>
      <c r="K930" s="233"/>
      <c r="L930" s="19"/>
      <c r="M930" s="19"/>
      <c r="N930" s="19"/>
      <c r="O930" s="19"/>
      <c r="P930" s="19"/>
      <c r="Q930" s="19"/>
      <c r="R930" s="19"/>
      <c r="S930" s="19"/>
      <c r="T930" s="19"/>
      <c r="U930" s="19"/>
      <c r="V930" s="19"/>
      <c r="W930" s="19"/>
      <c r="X930" s="19"/>
      <c r="Y930" s="19"/>
    </row>
    <row r="931" spans="1:25" ht="13.5" customHeight="1">
      <c r="A931" s="219" t="n" cm="1">
        <f t="array" ref="A931">IFERROR(INDEX('03.Muestra'!$B$8:$B$42,SMALL(IF("Documento no web"='03.Muestra'!$D$8:$D$42,ROW('03.Muestra'!$B$8:$B$42)-MIN(ROW('03.Muestra'!$D$8:$D$42))+1,""),ROW()-930)),"")</f>
        <v>1.0</v>
      </c>
      <c r="B931" s="114" t="str" cm="1">
        <f t="array" ref="B931">IFERROR(INDEX('03.Muestra'!$C$8:$C$42,SMALL(IF("Documento no web"='03.Muestra'!$D$8:$D$42,ROW('03.Muestra'!$C$8:$C$42)-MIN(ROW('03.Muestra'!$D$8:$D$42))+1,""),ROW()-930)),"")</f>
        <v>Home - PortCastelló</v>
      </c>
      <c r="C931" s="114" t="str" cm="1">
        <f t="array" ref="C931">IFERROR(INDEX('03.Muestra'!$F$8:$F$42,SMALL(IF("Documento no web"='03.Muestra'!$D$8:$D$42,ROW('03.Muestra'!$F$8:$F$42)-MIN(ROW('03.Muestra'!$D$8:$D$42))+1,""),ROW()-930)),"")</f>
        <v>https://www.portcastello.com/</v>
      </c>
      <c r="D931" s="130" t="s">
        <v>33</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3.5" customHeight="1">
      <c r="A932" s="219" t="n" cm="1">
        <f t="array" ref="A932">IFERROR(INDEX('03.Muestra'!$B$8:$B$42,SMALL(IF("Documento no web"='03.Muestra'!$D$8:$D$42,ROW('03.Muestra'!$B$8:$B$42)-MIN(ROW('03.Muestra'!$D$8:$D$42))+1,""),ROW()-930)),"")</f>
        <v>1.0</v>
      </c>
      <c r="B932" s="114" t="str" cm="1">
        <f t="array" ref="B932">IFERROR(INDEX('03.Muestra'!$C$8:$C$42,SMALL(IF("Documento no web"='03.Muestra'!$D$8:$D$42,ROW('03.Muestra'!$C$8:$C$42)-MIN(ROW('03.Muestra'!$D$8:$D$42))+1,""),ROW()-930)),"")</f>
        <v>Home - PortCastelló</v>
      </c>
      <c r="C932" s="114" t="str" cm="1">
        <f t="array" ref="C932">IFERROR(INDEX('03.Muestra'!$F$8:$F$42,SMALL(IF("Documento no web"='03.Muestra'!$D$8:$D$42,ROW('03.Muestra'!$F$8:$F$42)-MIN(ROW('03.Muestra'!$D$8:$D$42))+1,""),ROW()-930)),"")</f>
        <v>https://www.portcastello.com/</v>
      </c>
      <c r="D932" s="130" t="s">
        <v>33</v>
      </c>
      <c r="E932" s="107" t="str">
        <f t="shared" si="48"/>
        <v/>
      </c>
      <c r="F932" s="120" t="n">
        <f ca="1">COUNTIF($D931:INDIRECT("$D" &amp;  SUM(ROW()-1,'03.Muestra'!$D$45)-1),F931)</f>
        <v>2.0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IF(COUNTIF('03.Muestra'!$D$8:$D$42,"Documento no web")=0,0,COUNTBLANK($D931:INDIRECT("$D" &amp;  SUM(ROW()-1,COUNTIF('03.Muestra'!$D$8:$D$42,"Documento no web"))-1)))</f>
        <v>0.0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ref="D933:D965">IF(AND(B933&lt;&gt;"",C933&lt;&gt;""),"N/T","")</f>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268</v>
      </c>
      <c r="B968" s="24" t="s">
        <v>90</v>
      </c>
      <c r="C968" s="25" t="s">
        <v>447</v>
      </c>
      <c r="D968" s="26" t="s">
        <v>32</v>
      </c>
      <c r="E968" s="123"/>
      <c r="K968" s="233"/>
      <c r="L968" s="19"/>
      <c r="M968" s="19"/>
      <c r="N968" s="19"/>
      <c r="O968" s="19"/>
      <c r="P968" s="19"/>
      <c r="Q968" s="19"/>
      <c r="R968" s="19"/>
      <c r="S968" s="19"/>
      <c r="T968" s="19"/>
      <c r="U968" s="19"/>
      <c r="V968" s="19"/>
      <c r="W968" s="19"/>
      <c r="X968" s="19"/>
      <c r="Y968" s="19"/>
    </row>
    <row r="969" spans="1:25" ht="13.5" customHeight="1">
      <c r="A969" s="219" t="n" cm="1">
        <f t="array" ref="A969">IFERROR(INDEX('03.Muestra'!$B$8:$B$42,SMALL(IF("Documento no web"='03.Muestra'!$D$8:$D$42,ROW('03.Muestra'!$B$8:$B$42)-MIN(ROW('03.Muestra'!$D$8:$D$42))+1,""),ROW()-968)),"")</f>
        <v>1.0</v>
      </c>
      <c r="B969" s="114" t="str" cm="1">
        <f t="array" ref="B969">IFERROR(INDEX('03.Muestra'!$C$8:$C$42,SMALL(IF("Documento no web"='03.Muestra'!$D$8:$D$42,ROW('03.Muestra'!$C$8:$C$42)-MIN(ROW('03.Muestra'!$D$8:$D$42))+1,""),ROW()-968)),"")</f>
        <v>Home - PortCastelló</v>
      </c>
      <c r="C969" s="114" t="str" cm="1">
        <f t="array" ref="C969">IFERROR(INDEX('03.Muestra'!$F$8:$F$42,SMALL(IF("Documento no web"='03.Muestra'!$D$8:$D$42,ROW('03.Muestra'!$F$8:$F$42)-MIN(ROW('03.Muestra'!$D$8:$D$42))+1,""),ROW()-968)),"")</f>
        <v>https://www.portcastello.com/</v>
      </c>
      <c r="D969" s="130" t="s">
        <v>37</v>
      </c>
      <c r="E969" s="107" t="str">
        <f t="shared" ref="E969:E1004"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3.5" customHeight="1">
      <c r="A970" s="219" t="n" cm="1">
        <f t="array" ref="A970">IFERROR(INDEX('03.Muestra'!$B$8:$B$42,SMALL(IF("Documento no web"='03.Muestra'!$D$8:$D$42,ROW('03.Muestra'!$B$8:$B$42)-MIN(ROW('03.Muestra'!$D$8:$D$42))+1,""),ROW()-968)),"")</f>
        <v>1.0</v>
      </c>
      <c r="B970" s="114" t="str" cm="1">
        <f t="array" ref="B970">IFERROR(INDEX('03.Muestra'!$C$8:$C$42,SMALL(IF("Documento no web"='03.Muestra'!$D$8:$D$42,ROW('03.Muestra'!$C$8:$C$42)-MIN(ROW('03.Muestra'!$D$8:$D$42))+1,""),ROW()-968)),"")</f>
        <v>Home - PortCastelló</v>
      </c>
      <c r="C970" s="114" t="str" cm="1">
        <f t="array" ref="C970">IFERROR(INDEX('03.Muestra'!$F$8:$F$42,SMALL(IF("Documento no web"='03.Muestra'!$D$8:$D$42,ROW('03.Muestra'!$F$8:$F$42)-MIN(ROW('03.Muestra'!$D$8:$D$42))+1,""),ROW()-968)),"")</f>
        <v>https://www.portcastello.com/</v>
      </c>
      <c r="D970" s="130" t="s">
        <v>28</v>
      </c>
      <c r="E970" s="107" t="str">
        <f t="shared" si="50"/>
        <v/>
      </c>
      <c r="F970" s="120" t="n">
        <f ca="1">COUNTIF($D969:INDIRECT("$D" &amp;  SUM(ROW()-1,'03.Muestra'!$D$45)-1),F969)</f>
        <v>0.0</v>
      </c>
      <c r="G970" s="120" t="n">
        <f ca="1">COUNTIF($D969:INDIRECT("$D" &amp;  SUM(ROW()-1,'03.Muestra'!$D$45)-1),G969)</f>
        <v>1.0</v>
      </c>
      <c r="H970" s="120" t="n">
        <f ca="1">COUNTIF($D969:INDIRECT("$D" &amp;  SUM(ROW()-1,'03.Muestra'!$D$45)-1),H969)</f>
        <v>0.0</v>
      </c>
      <c r="I970" s="120" t="n">
        <f ca="1">COUNTIF($D969:INDIRECT("$D" &amp;  SUM(ROW()-1,'03.Muestra'!$D$45)-1),I969)</f>
        <v>1.0</v>
      </c>
      <c r="J970" s="120" t="n">
        <f ca="1">COUNTIF($D969:INDIRECT("$D" &amp;  SUM(ROW()-1,'03.Muestra'!$D$45)-1),J969)</f>
        <v>0.0</v>
      </c>
      <c r="K970" s="227" t="n">
        <f ca="1">IF(COUNTIF('03.Muestra'!$D$8:$D$42,"Documento no web")=0,0,COUNTBLANK($D969:INDIRECT("$D" &amp;  SUM(ROW()-1,COUNTIF('03.Muestra'!$D$8:$D$42,"Documento no web"))-1)))</f>
        <v>0.0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ref="D971:D1003">IF(AND(B971&lt;&gt;"",C971&lt;&gt;""),"N/T","")</f>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268</v>
      </c>
      <c r="B1006" s="24" t="s">
        <v>90</v>
      </c>
      <c r="C1006" s="25" t="s">
        <v>448</v>
      </c>
      <c r="D1006" s="26" t="s">
        <v>32</v>
      </c>
      <c r="E1006" s="123"/>
      <c r="K1006" s="233"/>
      <c r="L1006" s="19"/>
      <c r="M1006" s="19"/>
      <c r="N1006" s="19"/>
      <c r="O1006" s="19"/>
      <c r="P1006" s="19"/>
      <c r="Q1006" s="19"/>
      <c r="R1006" s="19"/>
      <c r="S1006" s="19"/>
      <c r="T1006" s="19"/>
      <c r="U1006" s="19"/>
      <c r="V1006" s="19"/>
      <c r="W1006" s="19"/>
      <c r="X1006" s="19"/>
      <c r="Y1006" s="19"/>
    </row>
    <row r="1007" spans="1:25" ht="13.5" customHeight="1">
      <c r="A1007" s="219" t="n" cm="1">
        <f t="array" ref="A1007">IFERROR(INDEX('03.Muestra'!$B$8:$B$42,SMALL(IF("Documento no web"='03.Muestra'!$D$8:$D$42,ROW('03.Muestra'!$B$8:$B$42)-MIN(ROW('03.Muestra'!$D$8:$D$42))+1,""),ROW()-1006)),"")</f>
        <v>1.0</v>
      </c>
      <c r="B1007" s="114" t="str" cm="1">
        <f t="array" ref="B1007">IFERROR(INDEX('03.Muestra'!$C$8:$C$42,SMALL(IF("Documento no web"='03.Muestra'!$D$8:$D$42,ROW('03.Muestra'!$C$8:$C$42)-MIN(ROW('03.Muestra'!$D$8:$D$42))+1,""),ROW()-1006)),"")</f>
        <v>Home - PortCastelló</v>
      </c>
      <c r="C1007" s="114" t="str" cm="1">
        <f t="array" ref="C1007">IFERROR(INDEX('03.Muestra'!$F$8:$F$42,SMALL(IF("Documento no web"='03.Muestra'!$D$8:$D$42,ROW('03.Muestra'!$F$8:$F$42)-MIN(ROW('03.Muestra'!$D$8:$D$42))+1,""),ROW()-1006)),"")</f>
        <v>https://www.portcastello.com/</v>
      </c>
      <c r="D1007" s="130" t="s">
        <v>33</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3.5" customHeight="1">
      <c r="A1008" s="219" t="n" cm="1">
        <f t="array" ref="A1008">IFERROR(INDEX('03.Muestra'!$B$8:$B$42,SMALL(IF("Documento no web"='03.Muestra'!$D$8:$D$42,ROW('03.Muestra'!$B$8:$B$42)-MIN(ROW('03.Muestra'!$D$8:$D$42))+1,""),ROW()-1006)),"")</f>
        <v>1.0</v>
      </c>
      <c r="B1008" s="114" t="str" cm="1">
        <f t="array" ref="B1008">IFERROR(INDEX('03.Muestra'!$C$8:$C$42,SMALL(IF("Documento no web"='03.Muestra'!$D$8:$D$42,ROW('03.Muestra'!$C$8:$C$42)-MIN(ROW('03.Muestra'!$D$8:$D$42))+1,""),ROW()-1006)),"")</f>
        <v>Home - PortCastelló</v>
      </c>
      <c r="C1008" s="114" t="str" cm="1">
        <f t="array" ref="C1008">IFERROR(INDEX('03.Muestra'!$F$8:$F$42,SMALL(IF("Documento no web"='03.Muestra'!$D$8:$D$42,ROW('03.Muestra'!$F$8:$F$42)-MIN(ROW('03.Muestra'!$D$8:$D$42))+1,""),ROW()-1006)),"")</f>
        <v>https://www.portcastello.com/</v>
      </c>
      <c r="D1008" s="130" t="s">
        <v>33</v>
      </c>
      <c r="E1008" s="107" t="str">
        <f t="shared" si="52"/>
        <v/>
      </c>
      <c r="F1008" s="120" t="n">
        <f ca="1">COUNTIF($D1007:INDIRECT("$D" &amp;  SUM(ROW()-1,'03.Muestra'!$D$45)-1),F1007)</f>
        <v>2.0</v>
      </c>
      <c r="G1008" s="120" t="n">
        <f ca="1">COUNTIF($D1007:INDIRECT("$D" &amp;  SUM(ROW()-1,'03.Muestra'!$D$45)-1),G1007)</f>
        <v>0.0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IF(COUNTIF('03.Muestra'!$D$8:$D$42,"Documento no web")=0,0,COUNTBLANK($D1007:INDIRECT("$D" &amp;  SUM(ROW()-1,COUNTIF('03.Muestra'!$D$8:$D$42,"Documento no web"))-1)))</f>
        <v>0.0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ref="D1009:D1041">IF(AND(B1009&lt;&gt;"",C1009&lt;&gt;""),"N/T","")</f>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268</v>
      </c>
      <c r="B1044" s="24" t="s">
        <v>90</v>
      </c>
      <c r="C1044" s="25" t="s">
        <v>449</v>
      </c>
      <c r="D1044" s="26" t="s">
        <v>32</v>
      </c>
      <c r="E1044" s="123"/>
      <c r="K1044" s="233"/>
      <c r="L1044" s="19"/>
      <c r="M1044" s="19"/>
      <c r="N1044" s="19"/>
      <c r="O1044" s="19"/>
      <c r="P1044" s="19"/>
      <c r="Q1044" s="19"/>
      <c r="R1044" s="19"/>
      <c r="S1044" s="19"/>
      <c r="T1044" s="19"/>
      <c r="U1044" s="19"/>
      <c r="V1044" s="19"/>
      <c r="W1044" s="19"/>
      <c r="X1044" s="19"/>
      <c r="Y1044" s="19"/>
    </row>
    <row r="1045" spans="1:25" ht="13.5" customHeight="1">
      <c r="A1045" s="219" t="n" cm="1">
        <f t="array" ref="A1045">IFERROR(INDEX('03.Muestra'!$B$8:$B$42,SMALL(IF("Documento no web"='03.Muestra'!$D$8:$D$42,ROW('03.Muestra'!$B$8:$B$42)-MIN(ROW('03.Muestra'!$D$8:$D$42))+1,""),ROW()-1044)),"")</f>
        <v>1.0</v>
      </c>
      <c r="B1045" s="114" t="str" cm="1">
        <f t="array" ref="B1045">IFERROR(INDEX('03.Muestra'!$C$8:$C$42,SMALL(IF("Documento no web"='03.Muestra'!$D$8:$D$42,ROW('03.Muestra'!$C$8:$C$42)-MIN(ROW('03.Muestra'!$D$8:$D$42))+1,""),ROW()-1044)),"")</f>
        <v>Home - PortCastelló</v>
      </c>
      <c r="C1045" s="114" t="str" cm="1">
        <f t="array" ref="C1045">IFERROR(INDEX('03.Muestra'!$F$8:$F$42,SMALL(IF("Documento no web"='03.Muestra'!$D$8:$D$42,ROW('03.Muestra'!$F$8:$F$42)-MIN(ROW('03.Muestra'!$D$8:$D$42))+1,""),ROW()-1044)),"")</f>
        <v>https://www.portcastello.com/</v>
      </c>
      <c r="D1045" s="130" t="s">
        <v>33</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3.5" customHeight="1">
      <c r="A1046" s="219" t="n" cm="1">
        <f t="array" ref="A1046">IFERROR(INDEX('03.Muestra'!$B$8:$B$42,SMALL(IF("Documento no web"='03.Muestra'!$D$8:$D$42,ROW('03.Muestra'!$B$8:$B$42)-MIN(ROW('03.Muestra'!$D$8:$D$42))+1,""),ROW()-1044)),"")</f>
        <v>1.0</v>
      </c>
      <c r="B1046" s="114" t="str" cm="1">
        <f t="array" ref="B1046">IFERROR(INDEX('03.Muestra'!$C$8:$C$42,SMALL(IF("Documento no web"='03.Muestra'!$D$8:$D$42,ROW('03.Muestra'!$C$8:$C$42)-MIN(ROW('03.Muestra'!$D$8:$D$42))+1,""),ROW()-1044)),"")</f>
        <v>Home - PortCastelló</v>
      </c>
      <c r="C1046" s="114" t="str" cm="1">
        <f t="array" ref="C1046">IFERROR(INDEX('03.Muestra'!$F$8:$F$42,SMALL(IF("Documento no web"='03.Muestra'!$D$8:$D$42,ROW('03.Muestra'!$F$8:$F$42)-MIN(ROW('03.Muestra'!$D$8:$D$42))+1,""),ROW()-1044)),"")</f>
        <v>https://www.portcastello.com/</v>
      </c>
      <c r="D1046" s="130" t="s">
        <v>33</v>
      </c>
      <c r="E1046" s="107" t="str">
        <f t="shared" si="54"/>
        <v/>
      </c>
      <c r="F1046" s="120" t="n">
        <f ca="1">COUNTIF($D1045:INDIRECT("$D" &amp;  SUM(ROW()-1,'03.Muestra'!$D$45)-1),F1045)</f>
        <v>2.0</v>
      </c>
      <c r="G1046" s="120" t="n">
        <f ca="1">COUNTIF($D1045:INDIRECT("$D" &amp;  SUM(ROW()-1,'03.Muestra'!$D$45)-1),G1045)</f>
        <v>0.0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IF(COUNTIF('03.Muestra'!$D$8:$D$42,"Documento no web")=0,0,COUNTBLANK($D1045:INDIRECT("$D" &amp;  SUM(ROW()-1,COUNTIF('03.Muestra'!$D$8:$D$42,"Documento no web"))-1)))</f>
        <v>0.0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ref="D1047:D1079">IF(AND(B1047&lt;&gt;"",C1047&lt;&gt;""),"N/T","")</f>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268</v>
      </c>
      <c r="B1082" s="24" t="s">
        <v>90</v>
      </c>
      <c r="C1082" s="25" t="s">
        <v>450</v>
      </c>
      <c r="D1082" s="26" t="s">
        <v>32</v>
      </c>
      <c r="E1082" s="123"/>
      <c r="K1082" s="233"/>
      <c r="L1082" s="19"/>
      <c r="M1082" s="19"/>
      <c r="N1082" s="19"/>
      <c r="O1082" s="19"/>
      <c r="P1082" s="19"/>
      <c r="Q1082" s="19"/>
      <c r="R1082" s="19"/>
      <c r="S1082" s="19"/>
      <c r="T1082" s="19"/>
      <c r="U1082" s="19"/>
      <c r="V1082" s="19"/>
      <c r="W1082" s="19"/>
      <c r="X1082" s="19"/>
      <c r="Y1082" s="19"/>
    </row>
    <row r="1083" spans="1:25" ht="13.5" customHeight="1">
      <c r="A1083" s="219" t="n" cm="1">
        <f t="array" ref="A1083">IFERROR(INDEX('03.Muestra'!$B$8:$B$42,SMALL(IF("Documento no web"='03.Muestra'!$D$8:$D$42,ROW('03.Muestra'!$B$8:$B$42)-MIN(ROW('03.Muestra'!$D$8:$D$42))+1,""),ROW()-1082)),"")</f>
        <v>1.0</v>
      </c>
      <c r="B1083" s="114" t="str" cm="1">
        <f t="array" ref="B1083">IFERROR(INDEX('03.Muestra'!$C$8:$C$42,SMALL(IF("Documento no web"='03.Muestra'!$D$8:$D$42,ROW('03.Muestra'!$C$8:$C$42)-MIN(ROW('03.Muestra'!$D$8:$D$42))+1,""),ROW()-1082)),"")</f>
        <v>Home - PortCastelló</v>
      </c>
      <c r="C1083" s="114" t="str" cm="1">
        <f t="array" ref="C1083">IFERROR(INDEX('03.Muestra'!$F$8:$F$42,SMALL(IF("Documento no web"='03.Muestra'!$D$8:$D$42,ROW('03.Muestra'!$F$8:$F$42)-MIN(ROW('03.Muestra'!$D$8:$D$42))+1,""),ROW()-1082)),"")</f>
        <v>https://www.portcastello.com/</v>
      </c>
      <c r="D1083" s="130" t="s">
        <v>33</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3.5" customHeight="1">
      <c r="A1084" s="219" t="n" cm="1">
        <f t="array" ref="A1084">IFERROR(INDEX('03.Muestra'!$B$8:$B$42,SMALL(IF("Documento no web"='03.Muestra'!$D$8:$D$42,ROW('03.Muestra'!$B$8:$B$42)-MIN(ROW('03.Muestra'!$D$8:$D$42))+1,""),ROW()-1082)),"")</f>
        <v>1.0</v>
      </c>
      <c r="B1084" s="114" t="str" cm="1">
        <f t="array" ref="B1084">IFERROR(INDEX('03.Muestra'!$C$8:$C$42,SMALL(IF("Documento no web"='03.Muestra'!$D$8:$D$42,ROW('03.Muestra'!$C$8:$C$42)-MIN(ROW('03.Muestra'!$D$8:$D$42))+1,""),ROW()-1082)),"")</f>
        <v>Home - PortCastelló</v>
      </c>
      <c r="C1084" s="114" t="str" cm="1">
        <f t="array" ref="C1084">IFERROR(INDEX('03.Muestra'!$F$8:$F$42,SMALL(IF("Documento no web"='03.Muestra'!$D$8:$D$42,ROW('03.Muestra'!$F$8:$F$42)-MIN(ROW('03.Muestra'!$D$8:$D$42))+1,""),ROW()-1082)),"")</f>
        <v>https://www.portcastello.com/</v>
      </c>
      <c r="D1084" s="130" t="s">
        <v>33</v>
      </c>
      <c r="E1084" s="107" t="str">
        <f t="shared" si="56"/>
        <v/>
      </c>
      <c r="F1084" s="120" t="n">
        <f ca="1">COUNTIF($D1083:INDIRECT("$D" &amp;  SUM(ROW()-1,'03.Muestra'!$D$45)-1),F1083)</f>
        <v>2.0</v>
      </c>
      <c r="G1084" s="120" t="n">
        <f ca="1">COUNTIF($D1083:INDIRECT("$D" &amp;  SUM(ROW()-1,'03.Muestra'!$D$45)-1),G1083)</f>
        <v>0.0</v>
      </c>
      <c r="H1084" s="120" t="n">
        <f ca="1">COUNTIF($D1083:INDIRECT("$D" &amp;  SUM(ROW()-1,'03.Muestra'!$D$45)-1),H1083)</f>
        <v>0.0</v>
      </c>
      <c r="I1084" s="120" t="n">
        <f ca="1">COUNTIF($D1083:INDIRECT("$D" &amp;  SUM(ROW()-1,'03.Muestra'!$D$45)-1),I1083)</f>
        <v>0.0</v>
      </c>
      <c r="J1084" s="120" t="n">
        <f ca="1">COUNTIF($D1083:INDIRECT("$D" &amp;  SUM(ROW()-1,'03.Muestra'!$D$45)-1),J1083)</f>
        <v>0.0</v>
      </c>
      <c r="K1084" s="227" t="n">
        <f ca="1">IF(COUNTIF('03.Muestra'!$D$8:$D$42,"Documento no web")=0,0,COUNTBLANK($D1083:INDIRECT("$D" &amp;  SUM(ROW()-1,COUNTIF('03.Muestra'!$D$8:$D$42,"Documento no web"))-1)))</f>
        <v>0.0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ref="D1085:D1117">IF(AND(B1085&lt;&gt;"",C1085&lt;&gt;""),"N/T","")</f>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268</v>
      </c>
      <c r="B1120" s="24" t="s">
        <v>90</v>
      </c>
      <c r="C1120" s="25" t="s">
        <v>451</v>
      </c>
      <c r="D1120" s="26" t="s">
        <v>32</v>
      </c>
      <c r="E1120" s="123"/>
      <c r="K1120" s="233"/>
      <c r="L1120" s="19"/>
      <c r="M1120" s="19"/>
      <c r="N1120" s="19"/>
      <c r="O1120" s="19"/>
      <c r="P1120" s="19"/>
      <c r="Q1120" s="19"/>
      <c r="R1120" s="19"/>
      <c r="S1120" s="19"/>
      <c r="T1120" s="19"/>
      <c r="U1120" s="19"/>
      <c r="V1120" s="19"/>
      <c r="W1120" s="19"/>
      <c r="X1120" s="19"/>
      <c r="Y1120" s="19"/>
    </row>
    <row r="1121" spans="1:25" ht="13.5" customHeight="1">
      <c r="A1121" s="219" t="n" cm="1">
        <f t="array" ref="A1121">IFERROR(INDEX('03.Muestra'!$B$8:$B$42,SMALL(IF("Documento no web"='03.Muestra'!$D$8:$D$42,ROW('03.Muestra'!$B$8:$B$42)-MIN(ROW('03.Muestra'!$D$8:$D$42))+1,""),ROW()-1120)),"")</f>
        <v>1.0</v>
      </c>
      <c r="B1121" s="114" t="str" cm="1">
        <f t="array" ref="B1121">IFERROR(INDEX('03.Muestra'!$C$8:$C$42,SMALL(IF("Documento no web"='03.Muestra'!$D$8:$D$42,ROW('03.Muestra'!$C$8:$C$42)-MIN(ROW('03.Muestra'!$D$8:$D$42))+1,""),ROW()-1120)),"")</f>
        <v>Home - PortCastelló</v>
      </c>
      <c r="C1121" s="114" t="str" cm="1">
        <f t="array" ref="C1121">IFERROR(INDEX('03.Muestra'!$F$8:$F$42,SMALL(IF("Documento no web"='03.Muestra'!$D$8:$D$42,ROW('03.Muestra'!$F$8:$F$42)-MIN(ROW('03.Muestra'!$D$8:$D$42))+1,""),ROW()-1120)),"")</f>
        <v>https://www.portcastello.com/</v>
      </c>
      <c r="D1121" s="130" t="s">
        <v>33</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3.5" customHeight="1">
      <c r="A1122" s="219" t="n" cm="1">
        <f t="array" ref="A1122">IFERROR(INDEX('03.Muestra'!$B$8:$B$42,SMALL(IF("Documento no web"='03.Muestra'!$D$8:$D$42,ROW('03.Muestra'!$B$8:$B$42)-MIN(ROW('03.Muestra'!$D$8:$D$42))+1,""),ROW()-1120)),"")</f>
        <v>1.0</v>
      </c>
      <c r="B1122" s="114" t="str" cm="1">
        <f t="array" ref="B1122">IFERROR(INDEX('03.Muestra'!$C$8:$C$42,SMALL(IF("Documento no web"='03.Muestra'!$D$8:$D$42,ROW('03.Muestra'!$C$8:$C$42)-MIN(ROW('03.Muestra'!$D$8:$D$42))+1,""),ROW()-1120)),"")</f>
        <v>Home - PortCastelló</v>
      </c>
      <c r="C1122" s="114" t="str" cm="1">
        <f t="array" ref="C1122">IFERROR(INDEX('03.Muestra'!$F$8:$F$42,SMALL(IF("Documento no web"='03.Muestra'!$D$8:$D$42,ROW('03.Muestra'!$F$8:$F$42)-MIN(ROW('03.Muestra'!$D$8:$D$42))+1,""),ROW()-1120)),"")</f>
        <v>https://www.portcastello.com/</v>
      </c>
      <c r="D1122" s="130" t="s">
        <v>33</v>
      </c>
      <c r="E1122" s="107" t="str">
        <f t="shared" si="58"/>
        <v/>
      </c>
      <c r="F1122" s="120" t="n">
        <f ca="1">COUNTIF($D1121:INDIRECT("$D" &amp;  SUM(ROW()-1,'03.Muestra'!$D$45)-1),F1121)</f>
        <v>2.0</v>
      </c>
      <c r="G1122" s="120" t="n">
        <f ca="1">COUNTIF($D1121:INDIRECT("$D" &amp;  SUM(ROW()-1,'03.Muestra'!$D$45)-1),G1121)</f>
        <v>0.0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IF(COUNTIF('03.Muestra'!$D$8:$D$42,"Documento no web")=0,0,COUNTBLANK($D1121:INDIRECT("$D" &amp;  SUM(ROW()-1,COUNTIF('03.Muestra'!$D$8:$D$42,"Documento no web"))-1)))</f>
        <v>0.0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ref="D1123:D1155">IF(AND(B1123&lt;&gt;"",C1123&lt;&gt;""),"N/T","")</f>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268</v>
      </c>
      <c r="B1158" s="24" t="s">
        <v>90</v>
      </c>
      <c r="C1158" s="25" t="s">
        <v>452</v>
      </c>
      <c r="D1158" s="26" t="s">
        <v>32</v>
      </c>
      <c r="E1158" s="123"/>
      <c r="K1158" s="233"/>
      <c r="L1158" s="19"/>
      <c r="M1158" s="19"/>
      <c r="N1158" s="19"/>
      <c r="O1158" s="19"/>
      <c r="P1158" s="19"/>
      <c r="Q1158" s="19"/>
      <c r="R1158" s="19"/>
      <c r="S1158" s="19"/>
      <c r="T1158" s="19"/>
      <c r="U1158" s="19"/>
      <c r="V1158" s="19"/>
      <c r="W1158" s="19"/>
      <c r="X1158" s="19"/>
      <c r="Y1158" s="19"/>
    </row>
    <row r="1159" spans="1:25" ht="13.5" customHeight="1">
      <c r="A1159" s="219" t="n" cm="1">
        <f t="array" ref="A1159">IFERROR(INDEX('03.Muestra'!$B$8:$B$42,SMALL(IF("Documento no web"='03.Muestra'!$D$8:$D$42,ROW('03.Muestra'!$B$8:$B$42)-MIN(ROW('03.Muestra'!$D$8:$D$42))+1,""),ROW()-1158)),"")</f>
        <v>1.0</v>
      </c>
      <c r="B1159" s="114" t="str" cm="1">
        <f t="array" ref="B1159">IFERROR(INDEX('03.Muestra'!$C$8:$C$42,SMALL(IF("Documento no web"='03.Muestra'!$D$8:$D$42,ROW('03.Muestra'!$C$8:$C$42)-MIN(ROW('03.Muestra'!$D$8:$D$42))+1,""),ROW()-1158)),"")</f>
        <v>Home - PortCastelló</v>
      </c>
      <c r="C1159" s="114" t="str" cm="1">
        <f t="array" ref="C1159">IFERROR(INDEX('03.Muestra'!$F$8:$F$42,SMALL(IF("Documento no web"='03.Muestra'!$D$8:$D$42,ROW('03.Muestra'!$F$8:$F$42)-MIN(ROW('03.Muestra'!$D$8:$D$42))+1,""),ROW()-1158)),"")</f>
        <v>https://www.portcastello.com/</v>
      </c>
      <c r="D1159" s="130" t="s">
        <v>33</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3.5" customHeight="1">
      <c r="A1160" s="219" t="n" cm="1">
        <f t="array" ref="A1160">IFERROR(INDEX('03.Muestra'!$B$8:$B$42,SMALL(IF("Documento no web"='03.Muestra'!$D$8:$D$42,ROW('03.Muestra'!$B$8:$B$42)-MIN(ROW('03.Muestra'!$D$8:$D$42))+1,""),ROW()-1158)),"")</f>
        <v>1.0</v>
      </c>
      <c r="B1160" s="114" t="str" cm="1">
        <f t="array" ref="B1160">IFERROR(INDEX('03.Muestra'!$C$8:$C$42,SMALL(IF("Documento no web"='03.Muestra'!$D$8:$D$42,ROW('03.Muestra'!$C$8:$C$42)-MIN(ROW('03.Muestra'!$D$8:$D$42))+1,""),ROW()-1158)),"")</f>
        <v>Home - PortCastelló</v>
      </c>
      <c r="C1160" s="114" t="str" cm="1">
        <f t="array" ref="C1160">IFERROR(INDEX('03.Muestra'!$F$8:$F$42,SMALL(IF("Documento no web"='03.Muestra'!$D$8:$D$42,ROW('03.Muestra'!$F$8:$F$42)-MIN(ROW('03.Muestra'!$D$8:$D$42))+1,""),ROW()-1158)),"")</f>
        <v>https://www.portcastello.com/</v>
      </c>
      <c r="D1160" s="130" t="s">
        <v>33</v>
      </c>
      <c r="E1160" s="107" t="str">
        <f t="shared" si="60"/>
        <v/>
      </c>
      <c r="F1160" s="120" t="n">
        <f ca="1">COUNTIF($D1159:INDIRECT("$D" &amp;  SUM(ROW()-1,'03.Muestra'!$D$45)-1),F1159)</f>
        <v>2.0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IF(COUNTIF('03.Muestra'!$D$8:$D$42,"Documento no web")=0,0,COUNTBLANK($D1159:INDIRECT("$D" &amp;  SUM(ROW()-1,COUNTIF('03.Muestra'!$D$8:$D$42,"Documento no web"))-1)))</f>
        <v>0.0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ref="D1161:D1193">IF(AND(B1161&lt;&gt;"",C1161&lt;&gt;""),"N/T","")</f>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268</v>
      </c>
      <c r="B1196" s="24" t="s">
        <v>90</v>
      </c>
      <c r="C1196" s="25" t="s">
        <v>453</v>
      </c>
      <c r="D1196" s="26" t="s">
        <v>32</v>
      </c>
      <c r="E1196" s="123"/>
      <c r="K1196" s="233"/>
      <c r="L1196" s="19"/>
    </row>
    <row r="1197" spans="1:25" ht="13.5" customHeight="1">
      <c r="A1197" s="219" t="n" cm="1">
        <f t="array" ref="A1197">IFERROR(INDEX('03.Muestra'!$B$8:$B$42,SMALL(IF("Documento no web"='03.Muestra'!$D$8:$D$42,ROW('03.Muestra'!$B$8:$B$42)-MIN(ROW('03.Muestra'!$D$8:$D$42))+1,""),ROW()-1196)),"")</f>
        <v>1.0</v>
      </c>
      <c r="B1197" s="114" t="str" cm="1">
        <f t="array" ref="B1197">IFERROR(INDEX('03.Muestra'!$C$8:$C$42,SMALL(IF("Documento no web"='03.Muestra'!$D$8:$D$42,ROW('03.Muestra'!$C$8:$C$42)-MIN(ROW('03.Muestra'!$D$8:$D$42))+1,""),ROW()-1196)),"")</f>
        <v>Home - PortCastelló</v>
      </c>
      <c r="C1197" s="114" t="str" cm="1">
        <f t="array" ref="C1197">IFERROR(INDEX('03.Muestra'!$F$8:$F$42,SMALL(IF("Documento no web"='03.Muestra'!$D$8:$D$42,ROW('03.Muestra'!$F$8:$F$42)-MIN(ROW('03.Muestra'!$D$8:$D$42))+1,""),ROW()-1196)),"")</f>
        <v>https://www.portcastello.com/</v>
      </c>
      <c r="D1197" s="130" t="s">
        <v>33</v>
      </c>
      <c r="E1197" s="107" t="str">
        <f t="shared" ref="E1197:E1231" si="62">IF(D1197&lt;&gt;"",IF(AND(B1197&lt;&gt;"",C1197&lt;&gt;""),"","ERR"),"")</f>
        <v/>
      </c>
      <c r="F1197" s="115" t="s">
        <v>33</v>
      </c>
      <c r="G1197" s="116" t="s">
        <v>37</v>
      </c>
      <c r="H1197" s="117" t="s">
        <v>35</v>
      </c>
      <c r="I1197" s="118" t="s">
        <v>28</v>
      </c>
      <c r="J1197" s="119" t="s">
        <v>26</v>
      </c>
      <c r="K1197" s="226" t="s">
        <v>474</v>
      </c>
      <c r="L1197" s="19"/>
    </row>
    <row r="1198" spans="1:25" ht="13.5" customHeight="1">
      <c r="A1198" s="219" t="n" cm="1">
        <f t="array" ref="A1198">IFERROR(INDEX('03.Muestra'!$B$8:$B$42,SMALL(IF("Documento no web"='03.Muestra'!$D$8:$D$42,ROW('03.Muestra'!$B$8:$B$42)-MIN(ROW('03.Muestra'!$D$8:$D$42))+1,""),ROW()-1196)),"")</f>
        <v>1.0</v>
      </c>
      <c r="B1198" s="114" t="str" cm="1">
        <f t="array" ref="B1198">IFERROR(INDEX('03.Muestra'!$C$8:$C$42,SMALL(IF("Documento no web"='03.Muestra'!$D$8:$D$42,ROW('03.Muestra'!$C$8:$C$42)-MIN(ROW('03.Muestra'!$D$8:$D$42))+1,""),ROW()-1196)),"")</f>
        <v>Home - PortCastelló</v>
      </c>
      <c r="C1198" s="114" t="str" cm="1">
        <f t="array" ref="C1198">IFERROR(INDEX('03.Muestra'!$F$8:$F$42,SMALL(IF("Documento no web"='03.Muestra'!$D$8:$D$42,ROW('03.Muestra'!$F$8:$F$42)-MIN(ROW('03.Muestra'!$D$8:$D$42))+1,""),ROW()-1196)),"")</f>
        <v>https://www.portcastello.com/</v>
      </c>
      <c r="D1198" s="130" t="s">
        <v>33</v>
      </c>
      <c r="E1198" s="107" t="str">
        <f t="shared" si="62"/>
        <v/>
      </c>
      <c r="F1198" s="120" t="n">
        <f ca="1">COUNTIF($D1197:INDIRECT("$D" &amp;  SUM(ROW()-1,'03.Muestra'!$D$45)-1),F1197)</f>
        <v>2.0</v>
      </c>
      <c r="G1198" s="120" t="n">
        <f ca="1">COUNTIF($D1197:INDIRECT("$D" &amp;  SUM(ROW()-1,'03.Muestra'!$D$45)-1),G1197)</f>
        <v>0.0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IF(COUNTIF('03.Muestra'!$D$8:$D$42,"Documento no web")=0,0,COUNTBLANK($D1197:INDIRECT("$D" &amp;  SUM(ROW()-1,COUNTIF('03.Muestra'!$D$8:$D$42,"Documento no web"))-1)))</f>
        <v>0.0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ref="D1199:D1231">IF(AND(B1199&lt;&gt;"",C1199&lt;&gt;""),"N/T","")</f>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268</v>
      </c>
      <c r="B1234" s="24" t="s">
        <v>90</v>
      </c>
      <c r="C1234" s="25" t="s">
        <v>454</v>
      </c>
      <c r="D1234" s="26" t="s">
        <v>32</v>
      </c>
      <c r="E1234" s="123"/>
      <c r="K1234" s="233"/>
      <c r="L1234" s="19"/>
    </row>
    <row r="1235" spans="1:12" ht="13.5" customHeight="1">
      <c r="A1235" s="219" t="n" cm="1">
        <f t="array" ref="A1235">IFERROR(INDEX('03.Muestra'!$B$8:$B$42,SMALL(IF("Documento no web"='03.Muestra'!$D$8:$D$42,ROW('03.Muestra'!$B$8:$B$42)-MIN(ROW('03.Muestra'!$D$8:$D$42))+1,""),ROW()-1234)),"")</f>
        <v>1.0</v>
      </c>
      <c r="B1235" s="114" t="str" cm="1">
        <f t="array" ref="B1235">IFERROR(INDEX('03.Muestra'!$C$8:$C$42,SMALL(IF("Documento no web"='03.Muestra'!$D$8:$D$42,ROW('03.Muestra'!$C$8:$C$42)-MIN(ROW('03.Muestra'!$D$8:$D$42))+1,""),ROW()-1234)),"")</f>
        <v>Home - PortCastelló</v>
      </c>
      <c r="C1235" s="114" t="str" cm="1">
        <f t="array" ref="C1235">IFERROR(INDEX('03.Muestra'!$F$8:$F$42,SMALL(IF("Documento no web"='03.Muestra'!$D$8:$D$42,ROW('03.Muestra'!$F$8:$F$42)-MIN(ROW('03.Muestra'!$D$8:$D$42))+1,""),ROW()-1234)),"")</f>
        <v>https://www.portcastello.com/</v>
      </c>
      <c r="D1235" s="130" t="s">
        <v>33</v>
      </c>
      <c r="E1235" s="107" t="str">
        <f t="shared" ref="E1235:E1269" si="64">IF(D1235&lt;&gt;"",IF(AND(B1235&lt;&gt;"",C1235&lt;&gt;""),"","ERR"),"")</f>
        <v/>
      </c>
      <c r="F1235" s="115" t="s">
        <v>33</v>
      </c>
      <c r="G1235" s="116" t="s">
        <v>37</v>
      </c>
      <c r="H1235" s="117" t="s">
        <v>35</v>
      </c>
      <c r="I1235" s="118" t="s">
        <v>28</v>
      </c>
      <c r="J1235" s="119" t="s">
        <v>26</v>
      </c>
      <c r="K1235" s="226" t="s">
        <v>474</v>
      </c>
      <c r="L1235" s="19"/>
    </row>
    <row r="1236" spans="1:12" ht="13.5" customHeight="1">
      <c r="A1236" s="219" t="n" cm="1">
        <f t="array" ref="A1236">IFERROR(INDEX('03.Muestra'!$B$8:$B$42,SMALL(IF("Documento no web"='03.Muestra'!$D$8:$D$42,ROW('03.Muestra'!$B$8:$B$42)-MIN(ROW('03.Muestra'!$D$8:$D$42))+1,""),ROW()-1234)),"")</f>
        <v>1.0</v>
      </c>
      <c r="B1236" s="114" t="str" cm="1">
        <f t="array" ref="B1236">IFERROR(INDEX('03.Muestra'!$C$8:$C$42,SMALL(IF("Documento no web"='03.Muestra'!$D$8:$D$42,ROW('03.Muestra'!$C$8:$C$42)-MIN(ROW('03.Muestra'!$D$8:$D$42))+1,""),ROW()-1234)),"")</f>
        <v>Home - PortCastelló</v>
      </c>
      <c r="C1236" s="114" t="str" cm="1">
        <f t="array" ref="C1236">IFERROR(INDEX('03.Muestra'!$F$8:$F$42,SMALL(IF("Documento no web"='03.Muestra'!$D$8:$D$42,ROW('03.Muestra'!$F$8:$F$42)-MIN(ROW('03.Muestra'!$D$8:$D$42))+1,""),ROW()-1234)),"")</f>
        <v>https://www.portcastello.com/</v>
      </c>
      <c r="D1236" s="130" t="s">
        <v>33</v>
      </c>
      <c r="E1236" s="107" t="str">
        <f t="shared" si="64"/>
        <v/>
      </c>
      <c r="F1236" s="120" t="n">
        <f ca="1">COUNTIF($D1235:INDIRECT("$D" &amp;  SUM(ROW()-1,'03.Muestra'!$D$45)-1),F1235)</f>
        <v>2.0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IF(COUNTIF('03.Muestra'!$D$8:$D$42,"Documento no web")=0,0,COUNTBLANK($D1235:INDIRECT("$D" &amp;  SUM(ROW()-1,COUNTIF('03.Muestra'!$D$8:$D$42,"Documento no web"))-1)))</f>
        <v>0.0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ref="D1237:D1269">IF(AND(B1237&lt;&gt;"",C1237&lt;&gt;""),"N/T","")</f>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268</v>
      </c>
      <c r="B1272" s="24" t="s">
        <v>90</v>
      </c>
      <c r="C1272" s="25" t="s">
        <v>455</v>
      </c>
      <c r="D1272" s="26" t="s">
        <v>32</v>
      </c>
      <c r="E1272" s="123"/>
      <c r="K1272" s="233"/>
      <c r="L1272" s="19"/>
    </row>
    <row r="1273" spans="1:12" ht="13.5" customHeight="1">
      <c r="A1273" s="219" t="n" cm="1">
        <f t="array" ref="A1273">IFERROR(INDEX('03.Muestra'!$B$8:$B$42,SMALL(IF("Documento no web"='03.Muestra'!$D$8:$D$42,ROW('03.Muestra'!$B$8:$B$42)-MIN(ROW('03.Muestra'!$D$8:$D$42))+1,""),ROW()-1272)),"")</f>
        <v>1.0</v>
      </c>
      <c r="B1273" s="114" t="str" cm="1">
        <f t="array" ref="B1273">IFERROR(INDEX('03.Muestra'!$C$8:$C$42,SMALL(IF("Documento no web"='03.Muestra'!$D$8:$D$42,ROW('03.Muestra'!$C$8:$C$42)-MIN(ROW('03.Muestra'!$D$8:$D$42))+1,""),ROW()-1272)),"")</f>
        <v>Home - PortCastelló</v>
      </c>
      <c r="C1273" s="114" t="str" cm="1">
        <f t="array" ref="C1273">IFERROR(INDEX('03.Muestra'!$F$8:$F$42,SMALL(IF("Documento no web"='03.Muestra'!$D$8:$D$42,ROW('03.Muestra'!$F$8:$F$42)-MIN(ROW('03.Muestra'!$D$8:$D$42))+1,""),ROW()-1272)),"")</f>
        <v>https://www.portcastello.com/</v>
      </c>
      <c r="D1273" s="130" t="s">
        <v>33</v>
      </c>
      <c r="E1273" s="107" t="str">
        <f t="shared" ref="E1273:E1307" si="66">IF(D1273&lt;&gt;"",IF(AND(B1273&lt;&gt;"",C1273&lt;&gt;""),"","ERR"),"")</f>
        <v/>
      </c>
      <c r="F1273" s="115" t="s">
        <v>33</v>
      </c>
      <c r="G1273" s="116" t="s">
        <v>37</v>
      </c>
      <c r="H1273" s="117" t="s">
        <v>35</v>
      </c>
      <c r="I1273" s="118" t="s">
        <v>28</v>
      </c>
      <c r="J1273" s="119" t="s">
        <v>26</v>
      </c>
      <c r="K1273" s="226" t="s">
        <v>474</v>
      </c>
    </row>
    <row r="1274" spans="1:12" ht="13.5" customHeight="1">
      <c r="A1274" s="219" t="n" cm="1">
        <f t="array" ref="A1274">IFERROR(INDEX('03.Muestra'!$B$8:$B$42,SMALL(IF("Documento no web"='03.Muestra'!$D$8:$D$42,ROW('03.Muestra'!$B$8:$B$42)-MIN(ROW('03.Muestra'!$D$8:$D$42))+1,""),ROW()-1272)),"")</f>
        <v>1.0</v>
      </c>
      <c r="B1274" s="114" t="str" cm="1">
        <f t="array" ref="B1274">IFERROR(INDEX('03.Muestra'!$C$8:$C$42,SMALL(IF("Documento no web"='03.Muestra'!$D$8:$D$42,ROW('03.Muestra'!$C$8:$C$42)-MIN(ROW('03.Muestra'!$D$8:$D$42))+1,""),ROW()-1272)),"")</f>
        <v>Home - PortCastelló</v>
      </c>
      <c r="C1274" s="114" t="str" cm="1">
        <f t="array" ref="C1274">IFERROR(INDEX('03.Muestra'!$F$8:$F$42,SMALL(IF("Documento no web"='03.Muestra'!$D$8:$D$42,ROW('03.Muestra'!$F$8:$F$42)-MIN(ROW('03.Muestra'!$D$8:$D$42))+1,""),ROW()-1272)),"")</f>
        <v>https://www.portcastello.com/</v>
      </c>
      <c r="D1274" s="130" t="s">
        <v>33</v>
      </c>
      <c r="E1274" s="107" t="str">
        <f t="shared" si="66"/>
        <v/>
      </c>
      <c r="F1274" s="120" t="n">
        <f ca="1">COUNTIF($D1273:INDIRECT("$D" &amp;  SUM(ROW()-1,'03.Muestra'!$D$45)-1),F1273)</f>
        <v>2.0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IF(COUNTIF('03.Muestra'!$D$8:$D$42,"Documento no web")=0,0,COUNTBLANK($D1273:INDIRECT("$D" &amp;  SUM(ROW()-1,COUNTIF('03.Muestra'!$D$8:$D$42,"Documento no web"))-1)))</f>
        <v>0.0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ref="D1275:D1307">IF(AND(B1275&lt;&gt;"",C1275&lt;&gt;""),"N/T","")</f>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268</v>
      </c>
      <c r="B1310" s="24" t="s">
        <v>90</v>
      </c>
      <c r="C1310" s="25" t="s">
        <v>456</v>
      </c>
      <c r="D1310" s="26" t="s">
        <v>32</v>
      </c>
      <c r="E1310" s="123"/>
      <c r="K1310" s="233"/>
      <c r="L1310" s="19"/>
    </row>
    <row r="1311" spans="1:12" ht="13.5" customHeight="1">
      <c r="A1311" s="219" t="n" cm="1">
        <f t="array" ref="A1311">IFERROR(INDEX('03.Muestra'!$B$8:$B$42,SMALL(IF("Documento no web"='03.Muestra'!$D$8:$D$42,ROW('03.Muestra'!$B$8:$B$42)-MIN(ROW('03.Muestra'!$D$8:$D$42))+1,""),ROW()-1310)),"")</f>
        <v>1.0</v>
      </c>
      <c r="B1311" s="114" t="str" cm="1">
        <f t="array" ref="B1311">IFERROR(INDEX('03.Muestra'!$C$8:$C$42,SMALL(IF("Documento no web"='03.Muestra'!$D$8:$D$42,ROW('03.Muestra'!$C$8:$C$42)-MIN(ROW('03.Muestra'!$D$8:$D$42))+1,""),ROW()-1310)),"")</f>
        <v>Home - PortCastelló</v>
      </c>
      <c r="C1311" s="114" t="str" cm="1">
        <f t="array" ref="C1311">IFERROR(INDEX('03.Muestra'!$F$8:$F$42,SMALL(IF("Documento no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3.5" customHeight="1">
      <c r="A1312" s="219" t="n" cm="1">
        <f t="array" ref="A1312">IFERROR(INDEX('03.Muestra'!$B$8:$B$42,SMALL(IF("Documento no web"='03.Muestra'!$D$8:$D$42,ROW('03.Muestra'!$B$8:$B$42)-MIN(ROW('03.Muestra'!$D$8:$D$42))+1,""),ROW()-1310)),"")</f>
        <v>1.0</v>
      </c>
      <c r="B1312" s="114" t="str" cm="1">
        <f t="array" ref="B1312">IFERROR(INDEX('03.Muestra'!$C$8:$C$42,SMALL(IF("Documento no web"='03.Muestra'!$D$8:$D$42,ROW('03.Muestra'!$C$8:$C$42)-MIN(ROW('03.Muestra'!$D$8:$D$42))+1,""),ROW()-1310)),"")</f>
        <v>Home - PortCastelló</v>
      </c>
      <c r="C1312" s="114" t="str" cm="1">
        <f t="array" ref="C1312">IFERROR(INDEX('03.Muestra'!$F$8:$F$42,SMALL(IF("Documento no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2.0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IF(COUNTIF('03.Muestra'!$D$8:$D$42,"Documento no web")=0,0,COUNTBLANK($D1311:INDIRECT("$D" &amp;  SUM(ROW()-1,COUNTIF('03.Muestra'!$D$8:$D$42,"Documento no web"))-1)))</f>
        <v>0.0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ref="D1313:D1345">IF(AND(B1313&lt;&gt;"",C1313&lt;&gt;""),"N/T","")</f>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268</v>
      </c>
      <c r="B1348" s="24" t="s">
        <v>90</v>
      </c>
      <c r="C1348" s="25" t="s">
        <v>457</v>
      </c>
      <c r="D1348" s="26" t="s">
        <v>32</v>
      </c>
      <c r="E1348" s="123"/>
      <c r="K1348" s="233"/>
      <c r="L1348" s="19"/>
    </row>
    <row r="1349" spans="1:12" ht="13.5" customHeight="1">
      <c r="A1349" s="219" t="n" cm="1">
        <f t="array" ref="A1349">IFERROR(INDEX('03.Muestra'!$B$8:$B$42,SMALL(IF("Documento no web"='03.Muestra'!$D$8:$D$42,ROW('03.Muestra'!$B$8:$B$42)-MIN(ROW('03.Muestra'!$D$8:$D$42))+1,""),ROW()-1348)),"")</f>
        <v>1.0</v>
      </c>
      <c r="B1349" s="114" t="str" cm="1">
        <f t="array" ref="B1349">IFERROR(INDEX('03.Muestra'!$C$8:$C$42,SMALL(IF("Documento no web"='03.Muestra'!$D$8:$D$42,ROW('03.Muestra'!$C$8:$C$42)-MIN(ROW('03.Muestra'!$D$8:$D$42))+1,""),ROW()-1348)),"")</f>
        <v>Home - PortCastelló</v>
      </c>
      <c r="C1349" s="114" t="str" cm="1">
        <f t="array" ref="C1349">IFERROR(INDEX('03.Muestra'!$F$8:$F$42,SMALL(IF("Documento no web"='03.Muestra'!$D$8:$D$42,ROW('03.Muestra'!$F$8:$F$42)-MIN(ROW('03.Muestra'!$D$8:$D$42))+1,""),ROW()-1348)),"")</f>
        <v>https://www.portcastello.com/</v>
      </c>
      <c r="D1349" s="130" t="s">
        <v>33</v>
      </c>
      <c r="E1349" s="107" t="str">
        <f t="shared" ref="E1349:E1383" si="70">IF(D1349&lt;&gt;"",IF(AND(B1349&lt;&gt;"",C1349&lt;&gt;""),"","ERR"),"")</f>
        <v/>
      </c>
      <c r="F1349" s="115" t="s">
        <v>33</v>
      </c>
      <c r="G1349" s="116" t="s">
        <v>37</v>
      </c>
      <c r="H1349" s="117" t="s">
        <v>35</v>
      </c>
      <c r="I1349" s="118" t="s">
        <v>28</v>
      </c>
      <c r="J1349" s="119" t="s">
        <v>26</v>
      </c>
      <c r="K1349" s="226" t="s">
        <v>474</v>
      </c>
      <c r="L1349" s="19"/>
    </row>
    <row r="1350" spans="1:12" ht="13.5" customHeight="1">
      <c r="A1350" s="219" t="n" cm="1">
        <f t="array" ref="A1350">IFERROR(INDEX('03.Muestra'!$B$8:$B$42,SMALL(IF("Documento no web"='03.Muestra'!$D$8:$D$42,ROW('03.Muestra'!$B$8:$B$42)-MIN(ROW('03.Muestra'!$D$8:$D$42))+1,""),ROW()-1348)),"")</f>
        <v>1.0</v>
      </c>
      <c r="B1350" s="114" t="str" cm="1">
        <f t="array" ref="B1350">IFERROR(INDEX('03.Muestra'!$C$8:$C$42,SMALL(IF("Documento no web"='03.Muestra'!$D$8:$D$42,ROW('03.Muestra'!$C$8:$C$42)-MIN(ROW('03.Muestra'!$D$8:$D$42))+1,""),ROW()-1348)),"")</f>
        <v>Home - PortCastelló</v>
      </c>
      <c r="C1350" s="114" t="str" cm="1">
        <f t="array" ref="C1350">IFERROR(INDEX('03.Muestra'!$F$8:$F$42,SMALL(IF("Documento no web"='03.Muestra'!$D$8:$D$42,ROW('03.Muestra'!$F$8:$F$42)-MIN(ROW('03.Muestra'!$D$8:$D$42))+1,""),ROW()-1348)),"")</f>
        <v>https://www.portcastello.com/</v>
      </c>
      <c r="D1350" s="130" t="s">
        <v>33</v>
      </c>
      <c r="E1350" s="107" t="str">
        <f t="shared" si="70"/>
        <v/>
      </c>
      <c r="F1350" s="120" t="n">
        <f ca="1">COUNTIF($D1349:INDIRECT("$D" &amp;  SUM(ROW()-1,'03.Muestra'!$D$45)-1),F1349)</f>
        <v>2.0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IF(COUNTIF('03.Muestra'!$D$8:$D$42,"Documento no web")=0,0,COUNTBLANK($D1349:INDIRECT("$D" &amp;  SUM(ROW()-1,COUNTIF('03.Muestra'!$D$8:$D$42,"Documento no web"))-1)))</f>
        <v>0.0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ref="D1351:D1383">IF(AND(B1351&lt;&gt;"",C1351&lt;&gt;""),"N/T","")</f>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268</v>
      </c>
      <c r="B1386" s="24" t="s">
        <v>90</v>
      </c>
      <c r="C1386" s="25" t="s">
        <v>458</v>
      </c>
      <c r="D1386" s="26" t="s">
        <v>32</v>
      </c>
      <c r="E1386" s="123"/>
      <c r="K1386" s="233"/>
      <c r="L1386" s="19"/>
    </row>
    <row r="1387" spans="1:12" ht="13.5" customHeight="1">
      <c r="A1387" s="219" t="n" cm="1">
        <f t="array" ref="A1387">IFERROR(INDEX('03.Muestra'!$B$8:$B$42,SMALL(IF("Documento no web"='03.Muestra'!$D$8:$D$42,ROW('03.Muestra'!$B$8:$B$42)-MIN(ROW('03.Muestra'!$D$8:$D$42))+1,""),ROW()-1386)),"")</f>
        <v>1.0</v>
      </c>
      <c r="B1387" s="114" t="str" cm="1">
        <f t="array" ref="B1387">IFERROR(INDEX('03.Muestra'!$C$8:$C$42,SMALL(IF("Documento no web"='03.Muestra'!$D$8:$D$42,ROW('03.Muestra'!$C$8:$C$42)-MIN(ROW('03.Muestra'!$D$8:$D$42))+1,""),ROW()-1386)),"")</f>
        <v>Home - PortCastelló</v>
      </c>
      <c r="C1387" s="114" t="str" cm="1">
        <f t="array" ref="C1387">IFERROR(INDEX('03.Muestra'!$F$8:$F$42,SMALL(IF("Documento no web"='03.Muestra'!$D$8:$D$42,ROW('03.Muestra'!$F$8:$F$42)-MIN(ROW('03.Muestra'!$D$8:$D$42))+1,""),ROW()-1386)),"")</f>
        <v>https://www.portcastello.com/</v>
      </c>
      <c r="D1387" s="130" t="s">
        <v>33</v>
      </c>
      <c r="E1387" s="107" t="str">
        <f t="shared" ref="E1387:E1421" si="72">IF(D1387&lt;&gt;"",IF(AND(B1387&lt;&gt;"",C1387&lt;&gt;""),"","ERR"),"")</f>
        <v/>
      </c>
      <c r="F1387" s="115" t="s">
        <v>33</v>
      </c>
      <c r="G1387" s="116" t="s">
        <v>37</v>
      </c>
      <c r="H1387" s="117" t="s">
        <v>35</v>
      </c>
      <c r="I1387" s="118" t="s">
        <v>28</v>
      </c>
      <c r="J1387" s="119" t="s">
        <v>26</v>
      </c>
      <c r="K1387" s="226" t="s">
        <v>474</v>
      </c>
      <c r="L1387" s="19"/>
    </row>
    <row r="1388" spans="1:12" ht="13.5" customHeight="1">
      <c r="A1388" s="219" t="n" cm="1">
        <f t="array" ref="A1388">IFERROR(INDEX('03.Muestra'!$B$8:$B$42,SMALL(IF("Documento no web"='03.Muestra'!$D$8:$D$42,ROW('03.Muestra'!$B$8:$B$42)-MIN(ROW('03.Muestra'!$D$8:$D$42))+1,""),ROW()-1386)),"")</f>
        <v>1.0</v>
      </c>
      <c r="B1388" s="114" t="str" cm="1">
        <f t="array" ref="B1388">IFERROR(INDEX('03.Muestra'!$C$8:$C$42,SMALL(IF("Documento no web"='03.Muestra'!$D$8:$D$42,ROW('03.Muestra'!$C$8:$C$42)-MIN(ROW('03.Muestra'!$D$8:$D$42))+1,""),ROW()-1386)),"")</f>
        <v>Home - PortCastelló</v>
      </c>
      <c r="C1388" s="114" t="str" cm="1">
        <f t="array" ref="C1388">IFERROR(INDEX('03.Muestra'!$F$8:$F$42,SMALL(IF("Documento no web"='03.Muestra'!$D$8:$D$42,ROW('03.Muestra'!$F$8:$F$42)-MIN(ROW('03.Muestra'!$D$8:$D$42))+1,""),ROW()-1386)),"")</f>
        <v>https://www.portcastello.com/</v>
      </c>
      <c r="D1388" s="130" t="s">
        <v>33</v>
      </c>
      <c r="E1388" s="107" t="str">
        <f t="shared" si="72"/>
        <v/>
      </c>
      <c r="F1388" s="120" t="n">
        <f ca="1">COUNTIF($D1387:INDIRECT("$D" &amp;  SUM(ROW()-1,'03.Muestra'!$D$45)-1),F1387)</f>
        <v>2.0</v>
      </c>
      <c r="G1388" s="120" t="n">
        <f ca="1">COUNTIF($D1387:INDIRECT("$D" &amp;  SUM(ROW()-1,'03.Muestra'!$D$45)-1),G1387)</f>
        <v>0.0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IF(COUNTIF('03.Muestra'!$D$8:$D$42,"Documento no web")=0,0,COUNTBLANK($D1387:INDIRECT("$D" &amp;  SUM(ROW()-1,COUNTIF('03.Muestra'!$D$8:$D$42,"Documento no web"))-1)))</f>
        <v>0.0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ref="D1389:D1421">IF(AND(B1389&lt;&gt;"",C1389&lt;&gt;""),"N/T","")</f>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268</v>
      </c>
      <c r="B1424" s="24" t="s">
        <v>90</v>
      </c>
      <c r="C1424" s="25" t="s">
        <v>459</v>
      </c>
      <c r="D1424" s="26" t="s">
        <v>32</v>
      </c>
      <c r="E1424" s="123"/>
      <c r="K1424" s="233"/>
      <c r="L1424" s="19"/>
    </row>
    <row r="1425" spans="1:12" ht="13.5" customHeight="1">
      <c r="A1425" s="219" t="n" cm="1">
        <f t="array" ref="A1425">IFERROR(INDEX('03.Muestra'!$B$8:$B$42,SMALL(IF("Documento no web"='03.Muestra'!$D$8:$D$42,ROW('03.Muestra'!$B$8:$B$42)-MIN(ROW('03.Muestra'!$D$8:$D$42))+1,""),ROW()-1424)),"")</f>
        <v>1.0</v>
      </c>
      <c r="B1425" s="114" t="str" cm="1">
        <f t="array" ref="B1425">IFERROR(INDEX('03.Muestra'!$C$8:$C$42,SMALL(IF("Documento no web"='03.Muestra'!$D$8:$D$42,ROW('03.Muestra'!$C$8:$C$42)-MIN(ROW('03.Muestra'!$D$8:$D$42))+1,""),ROW()-1424)),"")</f>
        <v>Home - PortCastelló</v>
      </c>
      <c r="C1425" s="114" t="str" cm="1">
        <f t="array" ref="C1425">IFERROR(INDEX('03.Muestra'!$F$8:$F$42,SMALL(IF("Documento no web"='03.Muestra'!$D$8:$D$42,ROW('03.Muestra'!$F$8:$F$42)-MIN(ROW('03.Muestra'!$D$8:$D$42))+1,""),ROW()-1424)),"")</f>
        <v>https://www.portcastello.com/</v>
      </c>
      <c r="D1425" s="130" t="s">
        <v>33</v>
      </c>
      <c r="E1425" s="107" t="str">
        <f t="shared" ref="E1425:E1459" si="74">IF(D1425&lt;&gt;"",IF(AND(B1425&lt;&gt;"",C1425&lt;&gt;""),"","ERR"),"")</f>
        <v/>
      </c>
      <c r="F1425" s="115" t="s">
        <v>33</v>
      </c>
      <c r="G1425" s="116" t="s">
        <v>37</v>
      </c>
      <c r="H1425" s="117" t="s">
        <v>35</v>
      </c>
      <c r="I1425" s="118" t="s">
        <v>28</v>
      </c>
      <c r="J1425" s="119" t="s">
        <v>26</v>
      </c>
      <c r="K1425" s="226" t="s">
        <v>474</v>
      </c>
      <c r="L1425" s="19"/>
    </row>
    <row r="1426" spans="1:12" ht="13.5" customHeight="1">
      <c r="A1426" s="219" t="n" cm="1">
        <f t="array" ref="A1426">IFERROR(INDEX('03.Muestra'!$B$8:$B$42,SMALL(IF("Documento no web"='03.Muestra'!$D$8:$D$42,ROW('03.Muestra'!$B$8:$B$42)-MIN(ROW('03.Muestra'!$D$8:$D$42))+1,""),ROW()-1424)),"")</f>
        <v>1.0</v>
      </c>
      <c r="B1426" s="114" t="str" cm="1">
        <f t="array" ref="B1426">IFERROR(INDEX('03.Muestra'!$C$8:$C$42,SMALL(IF("Documento no web"='03.Muestra'!$D$8:$D$42,ROW('03.Muestra'!$C$8:$C$42)-MIN(ROW('03.Muestra'!$D$8:$D$42))+1,""),ROW()-1424)),"")</f>
        <v>Home - PortCastelló</v>
      </c>
      <c r="C1426" s="114" t="str" cm="1">
        <f t="array" ref="C1426">IFERROR(INDEX('03.Muestra'!$F$8:$F$42,SMALL(IF("Documento no web"='03.Muestra'!$D$8:$D$42,ROW('03.Muestra'!$F$8:$F$42)-MIN(ROW('03.Muestra'!$D$8:$D$42))+1,""),ROW()-1424)),"")</f>
        <v>https://www.portcastello.com/</v>
      </c>
      <c r="D1426" s="130" t="s">
        <v>33</v>
      </c>
      <c r="E1426" s="107" t="str">
        <f t="shared" si="74"/>
        <v/>
      </c>
      <c r="F1426" s="120" t="n">
        <f ca="1">COUNTIF($D1425:INDIRECT("$D" &amp;  SUM(ROW()-1,'03.Muestra'!$D$45)-1),F1425)</f>
        <v>2.0</v>
      </c>
      <c r="G1426" s="120" t="n">
        <f ca="1">COUNTIF($D1425:INDIRECT("$D" &amp;  SUM(ROW()-1,'03.Muestra'!$D$45)-1),G1425)</f>
        <v>0.0</v>
      </c>
      <c r="H1426" s="120" t="n">
        <f ca="1">COUNTIF($D1425:INDIRECT("$D" &amp;  SUM(ROW()-1,'03.Muestra'!$D$45)-1),H1425)</f>
        <v>0.0</v>
      </c>
      <c r="I1426" s="120" t="n">
        <f ca="1">COUNTIF($D1425:INDIRECT("$D" &amp;  SUM(ROW()-1,'03.Muestra'!$D$45)-1),I1425)</f>
        <v>0.0</v>
      </c>
      <c r="J1426" s="120" t="n">
        <f ca="1">COUNTIF($D1425:INDIRECT("$D" &amp;  SUM(ROW()-1,'03.Muestra'!$D$45)-1),J1425)</f>
        <v>0.0</v>
      </c>
      <c r="K1426" s="227" t="n">
        <f ca="1">IF(COUNTIF('03.Muestra'!$D$8:$D$42,"Documento no web")=0,0,COUNTBLANK($D1425:INDIRECT("$D" &amp;  SUM(ROW()-1,COUNTIF('03.Muestra'!$D$8:$D$42,"Documento no web"))-1)))</f>
        <v>0.0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ref="D1427:D1459">IF(AND(B1427&lt;&gt;"",C1427&lt;&gt;""),"N/T","")</f>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268</v>
      </c>
      <c r="B1462" s="24" t="s">
        <v>90</v>
      </c>
      <c r="C1462" s="25" t="s">
        <v>460</v>
      </c>
      <c r="D1462" s="26" t="s">
        <v>32</v>
      </c>
      <c r="E1462" s="123"/>
      <c r="K1462" s="233"/>
      <c r="L1462" s="19"/>
    </row>
    <row r="1463" spans="1:12" ht="13.5" customHeight="1">
      <c r="A1463" s="219" t="n" cm="1">
        <f t="array" ref="A1463">IFERROR(INDEX('03.Muestra'!$B$8:$B$42,SMALL(IF("Documento no web"='03.Muestra'!$D$8:$D$42,ROW('03.Muestra'!$B$8:$B$42)-MIN(ROW('03.Muestra'!$D$8:$D$42))+1,""),ROW()-1462)),"")</f>
        <v>1.0</v>
      </c>
      <c r="B1463" s="114" t="str" cm="1">
        <f t="array" ref="B1463">IFERROR(INDEX('03.Muestra'!$C$8:$C$42,SMALL(IF("Documento no web"='03.Muestra'!$D$8:$D$42,ROW('03.Muestra'!$C$8:$C$42)-MIN(ROW('03.Muestra'!$D$8:$D$42))+1,""),ROW()-1462)),"")</f>
        <v>Home - PortCastelló</v>
      </c>
      <c r="C1463" s="114" t="str" cm="1">
        <f t="array" ref="C1463">IFERROR(INDEX('03.Muestra'!$F$8:$F$42,SMALL(IF("Documento no web"='03.Muestra'!$D$8:$D$42,ROW('03.Muestra'!$F$8:$F$42)-MIN(ROW('03.Muestra'!$D$8:$D$42))+1,""),ROW()-1462)),"")</f>
        <v>https://www.portcastello.com/</v>
      </c>
      <c r="D1463" s="130" t="s">
        <v>33</v>
      </c>
      <c r="E1463" s="107" t="str">
        <f t="shared" ref="E1463:E1497" si="76">IF(D1463&lt;&gt;"",IF(AND(B1463&lt;&gt;"",C1463&lt;&gt;""),"","ERR"),"")</f>
        <v/>
      </c>
      <c r="F1463" s="115" t="s">
        <v>33</v>
      </c>
      <c r="G1463" s="116" t="s">
        <v>37</v>
      </c>
      <c r="H1463" s="117" t="s">
        <v>35</v>
      </c>
      <c r="I1463" s="118" t="s">
        <v>28</v>
      </c>
      <c r="J1463" s="119" t="s">
        <v>26</v>
      </c>
      <c r="K1463" s="226" t="s">
        <v>474</v>
      </c>
      <c r="L1463" s="19"/>
    </row>
    <row r="1464" spans="1:12" ht="13.5" customHeight="1">
      <c r="A1464" s="219" t="n" cm="1">
        <f t="array" ref="A1464">IFERROR(INDEX('03.Muestra'!$B$8:$B$42,SMALL(IF("Documento no web"='03.Muestra'!$D$8:$D$42,ROW('03.Muestra'!$B$8:$B$42)-MIN(ROW('03.Muestra'!$D$8:$D$42))+1,""),ROW()-1462)),"")</f>
        <v>1.0</v>
      </c>
      <c r="B1464" s="114" t="str" cm="1">
        <f t="array" ref="B1464">IFERROR(INDEX('03.Muestra'!$C$8:$C$42,SMALL(IF("Documento no web"='03.Muestra'!$D$8:$D$42,ROW('03.Muestra'!$C$8:$C$42)-MIN(ROW('03.Muestra'!$D$8:$D$42))+1,""),ROW()-1462)),"")</f>
        <v>Home - PortCastelló</v>
      </c>
      <c r="C1464" s="114" t="str" cm="1">
        <f t="array" ref="C1464">IFERROR(INDEX('03.Muestra'!$F$8:$F$42,SMALL(IF("Documento no web"='03.Muestra'!$D$8:$D$42,ROW('03.Muestra'!$F$8:$F$42)-MIN(ROW('03.Muestra'!$D$8:$D$42))+1,""),ROW()-1462)),"")</f>
        <v>https://www.portcastello.com/</v>
      </c>
      <c r="D1464" s="130" t="s">
        <v>33</v>
      </c>
      <c r="E1464" s="107" t="str">
        <f t="shared" si="76"/>
        <v/>
      </c>
      <c r="F1464" s="120" t="n">
        <f ca="1">COUNTIF($D1463:INDIRECT("$D" &amp;  SUM(ROW()-1,'03.Muestra'!$D$45)-1),F1463)</f>
        <v>2.0</v>
      </c>
      <c r="G1464" s="120" t="n">
        <f ca="1">COUNTIF($D1463:INDIRECT("$D" &amp;  SUM(ROW()-1,'03.Muestra'!$D$45)-1),G1463)</f>
        <v>0.0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IF(COUNTIF('03.Muestra'!$D$8:$D$42,"Documento no web")=0,0,COUNTBLANK($D1463:INDIRECT("$D" &amp;  SUM(ROW()-1,COUNTIF('03.Muestra'!$D$8:$D$42,"Documento no web"))-1)))</f>
        <v>0.0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ref="D1465:D1497">IF(AND(B1465&lt;&gt;"",C1465&lt;&gt;""),"N/T","")</f>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268</v>
      </c>
      <c r="B1500" s="24" t="s">
        <v>90</v>
      </c>
      <c r="C1500" s="25" t="s">
        <v>461</v>
      </c>
      <c r="D1500" s="26" t="s">
        <v>32</v>
      </c>
      <c r="E1500" s="123"/>
      <c r="K1500" s="233"/>
      <c r="L1500" s="19"/>
    </row>
    <row r="1501" spans="1:12" ht="13.5" customHeight="1">
      <c r="A1501" s="219" t="n" cm="1">
        <f t="array" ref="A1501">IFERROR(INDEX('03.Muestra'!$B$8:$B$42,SMALL(IF("Documento no web"='03.Muestra'!$D$8:$D$42,ROW('03.Muestra'!$B$8:$B$42)-MIN(ROW('03.Muestra'!$D$8:$D$42))+1,""),ROW()-1500)),"")</f>
        <v>1.0</v>
      </c>
      <c r="B1501" s="114" t="str" cm="1">
        <f t="array" ref="B1501">IFERROR(INDEX('03.Muestra'!$C$8:$C$42,SMALL(IF("Documento no web"='03.Muestra'!$D$8:$D$42,ROW('03.Muestra'!$C$8:$C$42)-MIN(ROW('03.Muestra'!$D$8:$D$42))+1,""),ROW()-1500)),"")</f>
        <v>Home - PortCastelló</v>
      </c>
      <c r="C1501" s="114" t="str" cm="1">
        <f t="array" ref="C1501">IFERROR(INDEX('03.Muestra'!$F$8:$F$42,SMALL(IF("Documento no web"='03.Muestra'!$D$8:$D$42,ROW('03.Muestra'!$F$8:$F$42)-MIN(ROW('03.Muestra'!$D$8:$D$42))+1,""),ROW()-1500)),"")</f>
        <v>https://www.portcastello.com/</v>
      </c>
      <c r="D1501" s="130" t="s">
        <v>33</v>
      </c>
      <c r="E1501" s="107" t="str">
        <f t="shared" ref="E1501:E1535" si="78">IF(D1501&lt;&gt;"",IF(AND(B1501&lt;&gt;"",C1501&lt;&gt;""),"","ERR"),"")</f>
        <v/>
      </c>
      <c r="F1501" s="115" t="s">
        <v>33</v>
      </c>
      <c r="G1501" s="116" t="s">
        <v>37</v>
      </c>
      <c r="H1501" s="117" t="s">
        <v>35</v>
      </c>
      <c r="I1501" s="118" t="s">
        <v>28</v>
      </c>
      <c r="J1501" s="119" t="s">
        <v>26</v>
      </c>
      <c r="K1501" s="226" t="s">
        <v>474</v>
      </c>
      <c r="L1501" s="19"/>
    </row>
    <row r="1502" spans="1:12" ht="13.5" customHeight="1">
      <c r="A1502" s="219" t="n" cm="1">
        <f t="array" ref="A1502">IFERROR(INDEX('03.Muestra'!$B$8:$B$42,SMALL(IF("Documento no web"='03.Muestra'!$D$8:$D$42,ROW('03.Muestra'!$B$8:$B$42)-MIN(ROW('03.Muestra'!$D$8:$D$42))+1,""),ROW()-1500)),"")</f>
        <v>1.0</v>
      </c>
      <c r="B1502" s="114" t="str" cm="1">
        <f t="array" ref="B1502">IFERROR(INDEX('03.Muestra'!$C$8:$C$42,SMALL(IF("Documento no web"='03.Muestra'!$D$8:$D$42,ROW('03.Muestra'!$C$8:$C$42)-MIN(ROW('03.Muestra'!$D$8:$D$42))+1,""),ROW()-1500)),"")</f>
        <v>Home - PortCastelló</v>
      </c>
      <c r="C1502" s="114" t="str" cm="1">
        <f t="array" ref="C1502">IFERROR(INDEX('03.Muestra'!$F$8:$F$42,SMALL(IF("Documento no web"='03.Muestra'!$D$8:$D$42,ROW('03.Muestra'!$F$8:$F$42)-MIN(ROW('03.Muestra'!$D$8:$D$42))+1,""),ROW()-1500)),"")</f>
        <v>https://www.portcastello.com/</v>
      </c>
      <c r="D1502" s="130" t="s">
        <v>33</v>
      </c>
      <c r="E1502" s="107" t="str">
        <f t="shared" si="78"/>
        <v/>
      </c>
      <c r="F1502" s="120" t="n">
        <f ca="1">COUNTIF($D1501:INDIRECT("$D" &amp;  SUM(ROW()-1,'03.Muestra'!$D$45)-1),F1501)</f>
        <v>2.0</v>
      </c>
      <c r="G1502" s="120" t="n">
        <f ca="1">COUNTIF($D1501:INDIRECT("$D" &amp;  SUM(ROW()-1,'03.Muestra'!$D$45)-1),G1501)</f>
        <v>0.0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IF(COUNTIF('03.Muestra'!$D$8:$D$42,"Documento no web")=0,0,COUNTBLANK($D1501:INDIRECT("$D" &amp;  SUM(ROW()-1,COUNTIF('03.Muestra'!$D$8:$D$42,"Documento no web"))-1)))</f>
        <v>0.0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ref="D1503:D1535">IF(AND(B1503&lt;&gt;"",C1503&lt;&gt;""),"N/T","")</f>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268</v>
      </c>
      <c r="B1538" s="24" t="s">
        <v>90</v>
      </c>
      <c r="C1538" s="25" t="s">
        <v>462</v>
      </c>
      <c r="D1538" s="26" t="s">
        <v>32</v>
      </c>
      <c r="E1538" s="123"/>
      <c r="K1538" s="233"/>
      <c r="L1538" s="19"/>
    </row>
    <row r="1539" spans="1:12" ht="13.5" customHeight="1">
      <c r="A1539" s="219" t="n" cm="1">
        <f t="array" ref="A1539">IFERROR(INDEX('03.Muestra'!$B$8:$B$42,SMALL(IF("Documento no web"='03.Muestra'!$D$8:$D$42,ROW('03.Muestra'!$B$8:$B$42)-MIN(ROW('03.Muestra'!$D$8:$D$42))+1,""),ROW()-1538)),"")</f>
        <v>1.0</v>
      </c>
      <c r="B1539" s="114" t="str" cm="1">
        <f t="array" ref="B1539">IFERROR(INDEX('03.Muestra'!$C$8:$C$42,SMALL(IF("Documento no web"='03.Muestra'!$D$8:$D$42,ROW('03.Muestra'!$C$8:$C$42)-MIN(ROW('03.Muestra'!$D$8:$D$42))+1,""),ROW()-1538)),"")</f>
        <v>Home - PortCastelló</v>
      </c>
      <c r="C1539" s="114" t="str" cm="1">
        <f t="array" ref="C1539">IFERROR(INDEX('03.Muestra'!$F$8:$F$42,SMALL(IF("Documento no web"='03.Muestra'!$D$8:$D$42,ROW('03.Muestra'!$F$8:$F$42)-MIN(ROW('03.Muestra'!$D$8:$D$42))+1,""),ROW()-1538)),"")</f>
        <v>https://www.portcastello.com/</v>
      </c>
      <c r="D1539" s="130" t="s">
        <v>33</v>
      </c>
      <c r="E1539" s="107" t="str">
        <f t="shared" ref="E1539:E1573" si="80">IF(D1539&lt;&gt;"",IF(AND(B1539&lt;&gt;"",C1539&lt;&gt;""),"","ERR"),"")</f>
        <v/>
      </c>
      <c r="F1539" s="115" t="s">
        <v>33</v>
      </c>
      <c r="G1539" s="116" t="s">
        <v>37</v>
      </c>
      <c r="H1539" s="117" t="s">
        <v>35</v>
      </c>
      <c r="I1539" s="118" t="s">
        <v>28</v>
      </c>
      <c r="J1539" s="119" t="s">
        <v>26</v>
      </c>
      <c r="K1539" s="226" t="s">
        <v>474</v>
      </c>
    </row>
    <row r="1540" spans="1:12" ht="13.5" customHeight="1">
      <c r="A1540" s="219" t="n" cm="1">
        <f t="array" ref="A1540">IFERROR(INDEX('03.Muestra'!$B$8:$B$42,SMALL(IF("Documento no web"='03.Muestra'!$D$8:$D$42,ROW('03.Muestra'!$B$8:$B$42)-MIN(ROW('03.Muestra'!$D$8:$D$42))+1,""),ROW()-1538)),"")</f>
        <v>1.0</v>
      </c>
      <c r="B1540" s="114" t="str" cm="1">
        <f t="array" ref="B1540">IFERROR(INDEX('03.Muestra'!$C$8:$C$42,SMALL(IF("Documento no web"='03.Muestra'!$D$8:$D$42,ROW('03.Muestra'!$C$8:$C$42)-MIN(ROW('03.Muestra'!$D$8:$D$42))+1,""),ROW()-1538)),"")</f>
        <v>Home - PortCastelló</v>
      </c>
      <c r="C1540" s="114" t="str" cm="1">
        <f t="array" ref="C1540">IFERROR(INDEX('03.Muestra'!$F$8:$F$42,SMALL(IF("Documento no web"='03.Muestra'!$D$8:$D$42,ROW('03.Muestra'!$F$8:$F$42)-MIN(ROW('03.Muestra'!$D$8:$D$42))+1,""),ROW()-1538)),"")</f>
        <v>https://www.portcastello.com/</v>
      </c>
      <c r="D1540" s="130" t="s">
        <v>33</v>
      </c>
      <c r="E1540" s="107" t="str">
        <f t="shared" si="80"/>
        <v/>
      </c>
      <c r="F1540" s="120" t="n">
        <f ca="1">COUNTIF($D1539:INDIRECT("$D" &amp;  SUM(ROW()-1,'03.Muestra'!$D$45)-1),F1539)</f>
        <v>2.0</v>
      </c>
      <c r="G1540" s="120" t="n">
        <f ca="1">COUNTIF($D1539:INDIRECT("$D" &amp;  SUM(ROW()-1,'03.Muestra'!$D$45)-1),G1539)</f>
        <v>0.0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IF(COUNTIF('03.Muestra'!$D$8:$D$42,"Documento no web")=0,0,COUNTBLANK($D1539:INDIRECT("$D" &amp;  SUM(ROW()-1,COUNTIF('03.Muestra'!$D$8:$D$42,"Documento no web"))-1)))</f>
        <v>0.0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ref="D1541:D1573">IF(AND(B1541&lt;&gt;"",C1541&lt;&gt;""),"N/T","")</f>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268</v>
      </c>
      <c r="B1576" s="24" t="s">
        <v>90</v>
      </c>
      <c r="C1576" s="25" t="s">
        <v>463</v>
      </c>
      <c r="D1576" s="26" t="s">
        <v>32</v>
      </c>
      <c r="E1576" s="123"/>
      <c r="K1576" s="233"/>
      <c r="L1576" s="19"/>
    </row>
    <row r="1577" spans="1:12" ht="13.5" customHeight="1">
      <c r="A1577" s="219" t="n" cm="1">
        <f t="array" ref="A1577">IFERROR(INDEX('03.Muestra'!$B$8:$B$42,SMALL(IF("Documento no web"='03.Muestra'!$D$8:$D$42,ROW('03.Muestra'!$B$8:$B$42)-MIN(ROW('03.Muestra'!$D$8:$D$42))+1,""),ROW()-1576)),"")</f>
        <v>1.0</v>
      </c>
      <c r="B1577" s="114" t="str" cm="1">
        <f t="array" ref="B1577">IFERROR(INDEX('03.Muestra'!$C$8:$C$42,SMALL(IF("Documento no web"='03.Muestra'!$D$8:$D$42,ROW('03.Muestra'!$C$8:$C$42)-MIN(ROW('03.Muestra'!$D$8:$D$42))+1,""),ROW()-1576)),"")</f>
        <v>Home - PortCastelló</v>
      </c>
      <c r="C1577" s="114" t="str" cm="1">
        <f t="array" ref="C1577">IFERROR(INDEX('03.Muestra'!$F$8:$F$42,SMALL(IF("Documento no web"='03.Muestra'!$D$8:$D$42,ROW('03.Muestra'!$F$8:$F$42)-MIN(ROW('03.Muestra'!$D$8:$D$42))+1,""),ROW()-1576)),"")</f>
        <v>https://www.portcastello.com/</v>
      </c>
      <c r="D1577" s="130" t="s">
        <v>33</v>
      </c>
      <c r="E1577" s="107" t="str">
        <f t="shared" ref="E1577:E1611" si="82">IF(D1577&lt;&gt;"",IF(AND(B1577&lt;&gt;"",C1577&lt;&gt;""),"","ERR"),"")</f>
        <v/>
      </c>
      <c r="F1577" s="115" t="s">
        <v>33</v>
      </c>
      <c r="G1577" s="116" t="s">
        <v>37</v>
      </c>
      <c r="H1577" s="117" t="s">
        <v>35</v>
      </c>
      <c r="I1577" s="118" t="s">
        <v>28</v>
      </c>
      <c r="J1577" s="119" t="s">
        <v>26</v>
      </c>
      <c r="K1577" s="226" t="s">
        <v>474</v>
      </c>
      <c r="L1577" s="19"/>
    </row>
    <row r="1578" spans="1:12" ht="13.5" customHeight="1">
      <c r="A1578" s="219" t="n" cm="1">
        <f t="array" ref="A1578">IFERROR(INDEX('03.Muestra'!$B$8:$B$42,SMALL(IF("Documento no web"='03.Muestra'!$D$8:$D$42,ROW('03.Muestra'!$B$8:$B$42)-MIN(ROW('03.Muestra'!$D$8:$D$42))+1,""),ROW()-1576)),"")</f>
        <v>1.0</v>
      </c>
      <c r="B1578" s="114" t="str" cm="1">
        <f t="array" ref="B1578">IFERROR(INDEX('03.Muestra'!$C$8:$C$42,SMALL(IF("Documento no web"='03.Muestra'!$D$8:$D$42,ROW('03.Muestra'!$C$8:$C$42)-MIN(ROW('03.Muestra'!$D$8:$D$42))+1,""),ROW()-1576)),"")</f>
        <v>Home - PortCastelló</v>
      </c>
      <c r="C1578" s="114" t="str" cm="1">
        <f t="array" ref="C1578">IFERROR(INDEX('03.Muestra'!$F$8:$F$42,SMALL(IF("Documento no web"='03.Muestra'!$D$8:$D$42,ROW('03.Muestra'!$F$8:$F$42)-MIN(ROW('03.Muestra'!$D$8:$D$42))+1,""),ROW()-1576)),"")</f>
        <v>https://www.portcastello.com/</v>
      </c>
      <c r="D1578" s="130" t="s">
        <v>33</v>
      </c>
      <c r="E1578" s="107" t="str">
        <f t="shared" si="82"/>
        <v/>
      </c>
      <c r="F1578" s="120" t="n">
        <f ca="1">COUNTIF($D1577:INDIRECT("$D" &amp;  SUM(ROW()-1,'03.Muestra'!$D$45)-1),F1577)</f>
        <v>2.0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IF(COUNTIF('03.Muestra'!$D$8:$D$42,"Documento no web")=0,0,COUNTBLANK($D1577:INDIRECT("$D" &amp;  SUM(ROW()-1,COUNTIF('03.Muestra'!$D$8:$D$42,"Documento no web"))-1)))</f>
        <v>0.0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ref="D1579:D1611">IF(AND(B1579&lt;&gt;"",C1579&lt;&gt;""),"N/T","")</f>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5">
      <c r="B1613" s="19"/>
      <c r="C1613" s="19"/>
      <c r="D1613" s="107"/>
      <c r="E1613" s="112"/>
      <c r="K1613" s="233"/>
      <c r="L1613" s="19"/>
    </row>
    <row r="1614" spans="1:12" ht="31.5">
      <c r="A1614" s="218" t="s">
        <v>268</v>
      </c>
      <c r="B1614" s="24" t="s">
        <v>90</v>
      </c>
      <c r="C1614" s="25" t="s">
        <v>464</v>
      </c>
      <c r="D1614" s="26" t="s">
        <v>32</v>
      </c>
      <c r="E1614" s="123"/>
      <c r="K1614" s="233"/>
      <c r="L1614" s="19"/>
    </row>
    <row r="1615" spans="1:12" ht="15">
      <c r="A1615" s="219" t="n" cm="1">
        <f t="array" ref="A1615">IFERROR(INDEX('03.Muestra'!$B$8:$B$42,SMALL(IF("Documento no web"='03.Muestra'!$D$8:$D$42,ROW('03.Muestra'!$B$8:$B$42)-MIN(ROW('03.Muestra'!$D$8:$D$42))+1,""),ROW()-1614)),"")</f>
        <v>1.0</v>
      </c>
      <c r="B1615" s="114" t="str" cm="1">
        <f t="array" ref="B1615">IFERROR(INDEX('03.Muestra'!$C$8:$C$42,SMALL(IF("Documento no web"='03.Muestra'!$D$8:$D$42,ROW('03.Muestra'!$C$8:$C$42)-MIN(ROW('03.Muestra'!$D$8:$D$42))+1,""),ROW()-1614)),"")</f>
        <v>Home - PortCastelló</v>
      </c>
      <c r="C1615" s="114" t="str" cm="1">
        <f t="array" ref="C1615">IFERROR(INDEX('03.Muestra'!$F$8:$F$42,SMALL(IF("Documento no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5">
      <c r="A1616" s="219" t="n" cm="1">
        <f t="array" ref="A1616">IFERROR(INDEX('03.Muestra'!$B$8:$B$42,SMALL(IF("Documento no web"='03.Muestra'!$D$8:$D$42,ROW('03.Muestra'!$B$8:$B$42)-MIN(ROW('03.Muestra'!$D$8:$D$42))+1,""),ROW()-1614)),"")</f>
        <v>1.0</v>
      </c>
      <c r="B1616" s="114" t="str" cm="1">
        <f t="array" ref="B1616">IFERROR(INDEX('03.Muestra'!$C$8:$C$42,SMALL(IF("Documento no web"='03.Muestra'!$D$8:$D$42,ROW('03.Muestra'!$C$8:$C$42)-MIN(ROW('03.Muestra'!$D$8:$D$42))+1,""),ROW()-1614)),"")</f>
        <v>Home - PortCastelló</v>
      </c>
      <c r="C1616" s="114" t="str" cm="1">
        <f t="array" ref="C1616">IFERROR(INDEX('03.Muestra'!$F$8:$F$42,SMALL(IF("Documento no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2.0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IF(COUNTIF('03.Muestra'!$D$8:$D$42,"Documento no web")=0,0,COUNTBLANK($D1615:INDIRECT("$D" &amp;  SUM(ROW()-1,COUNTIF('03.Muestra'!$D$8:$D$42,"Documento no web"))-1)))</f>
        <v>0.0</v>
      </c>
    </row>
    <row r="1617" spans="1:11" ht="1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5">
      <c r="B1650" s="19"/>
      <c r="C1650" s="19"/>
      <c r="D1650" s="107"/>
      <c r="E1650" s="19"/>
      <c r="F1650" s="19"/>
      <c r="G1650" s="19"/>
      <c r="H1650" s="19"/>
      <c r="I1650" s="19"/>
      <c r="J1650" s="19"/>
      <c r="K1650" s="233"/>
    </row>
    <row r="1651" spans="1:11" ht="15">
      <c r="B1651" s="19"/>
      <c r="C1651" s="19"/>
      <c r="D1651" s="107"/>
      <c r="E1651" s="112"/>
      <c r="F1651" s="19"/>
      <c r="G1651" s="19"/>
      <c r="H1651" s="19"/>
      <c r="I1651" s="19"/>
      <c r="J1651" s="19"/>
      <c r="K1651" s="233"/>
    </row>
    <row r="1652" spans="1:11" ht="31.5">
      <c r="A1652" s="218" t="s">
        <v>268</v>
      </c>
      <c r="B1652" s="24" t="s">
        <v>90</v>
      </c>
      <c r="C1652" s="25" t="s">
        <v>465</v>
      </c>
      <c r="D1652" s="26" t="s">
        <v>32</v>
      </c>
      <c r="E1652" s="123"/>
      <c r="K1652" s="233"/>
    </row>
    <row r="1653" spans="1:11" ht="15">
      <c r="A1653" s="219" t="n" cm="1">
        <f t="array" ref="A1653">IFERROR(INDEX('03.Muestra'!$B$8:$B$42,SMALL(IF("Documento no web"='03.Muestra'!$D$8:$D$42,ROW('03.Muestra'!$B$8:$B$42)-MIN(ROW('03.Muestra'!$D$8:$D$42))+1,""),ROW()-1652)),"")</f>
        <v>1.0</v>
      </c>
      <c r="B1653" s="114" t="str" cm="1">
        <f t="array" ref="B1653">IFERROR(INDEX('03.Muestra'!$C$8:$C$42,SMALL(IF("Documento no web"='03.Muestra'!$D$8:$D$42,ROW('03.Muestra'!$C$8:$C$42)-MIN(ROW('03.Muestra'!$D$8:$D$42))+1,""),ROW()-1652)),"")</f>
        <v>Home - PortCastelló</v>
      </c>
      <c r="C1653" s="114" t="str" cm="1">
        <f t="array" ref="C1653">IFERROR(INDEX('03.Muestra'!$F$8:$F$42,SMALL(IF("Documento no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5">
      <c r="A1654" s="219" t="n" cm="1">
        <f t="array" ref="A1654">IFERROR(INDEX('03.Muestra'!$B$8:$B$42,SMALL(IF("Documento no web"='03.Muestra'!$D$8:$D$42,ROW('03.Muestra'!$B$8:$B$42)-MIN(ROW('03.Muestra'!$D$8:$D$42))+1,""),ROW()-1652)),"")</f>
        <v>1.0</v>
      </c>
      <c r="B1654" s="114" t="str" cm="1">
        <f t="array" ref="B1654">IFERROR(INDEX('03.Muestra'!$C$8:$C$42,SMALL(IF("Documento no web"='03.Muestra'!$D$8:$D$42,ROW('03.Muestra'!$C$8:$C$42)-MIN(ROW('03.Muestra'!$D$8:$D$42))+1,""),ROW()-1652)),"")</f>
        <v>Home - PortCastelló</v>
      </c>
      <c r="C1654" s="114" t="str" cm="1">
        <f t="array" ref="C1654">IFERROR(INDEX('03.Muestra'!$F$8:$F$42,SMALL(IF("Documento no web"='03.Muestra'!$D$8:$D$42,ROW('03.Muestra'!$F$8:$F$42)-MIN(ROW('03.Muestra'!$D$8:$D$42))+1,""),ROW()-1652)),"")</f>
        <v>https://www.portcastello.com/</v>
      </c>
      <c r="D1654" s="130" t="s">
        <v>28</v>
      </c>
      <c r="E1654" s="107" t="str">
        <f t="shared" si="86"/>
        <v/>
      </c>
      <c r="F1654" s="120" t="n">
        <f ca="1">COUNTIF($D1653:INDIRECT("$D" &amp;  SUM(ROW()-1,'03.Muestra'!$D$45)-1),F1653)</f>
        <v>0.0</v>
      </c>
      <c r="G1654" s="120" t="n">
        <f ca="1">COUNTIF($D1653:INDIRECT("$D" &amp;  SUM(ROW()-1,'03.Muestra'!$D$45)-1),G1653)</f>
        <v>1.0</v>
      </c>
      <c r="H1654" s="120" t="n">
        <f ca="1">COUNTIF($D1653:INDIRECT("$D" &amp;  SUM(ROW()-1,'03.Muestra'!$D$45)-1),H1653)</f>
        <v>0.0</v>
      </c>
      <c r="I1654" s="120" t="n">
        <f ca="1">COUNTIF($D1653:INDIRECT("$D" &amp;  SUM(ROW()-1,'03.Muestra'!$D$45)-1),I1653)</f>
        <v>1.0</v>
      </c>
      <c r="J1654" s="120" t="n">
        <f ca="1">COUNTIF($D1653:INDIRECT("$D" &amp;  SUM(ROW()-1,'03.Muestra'!$D$45)-1),J1653)</f>
        <v>0.0</v>
      </c>
      <c r="K1654" s="227" t="n">
        <f ca="1">IF(COUNTIF('03.Muestra'!$D$8:$D$42,"Documento no web")=0,0,COUNTBLANK($D1653:INDIRECT("$D" &amp;  SUM(ROW()-1,COUNTIF('03.Muestra'!$D$8:$D$42,"Documento no web"))-1)))</f>
        <v>0.0</v>
      </c>
    </row>
    <row r="1655" spans="1:11" ht="1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ref="D1655:D1687">IF(AND(B1655&lt;&gt;"",C1655&lt;&gt;""),"N/T","")</f>
        <v/>
      </c>
      <c r="E1655" s="107" t="str">
        <f t="shared" si="86"/>
        <v/>
      </c>
      <c r="G1655" s="19"/>
      <c r="H1655" s="19"/>
      <c r="I1655" s="19"/>
      <c r="J1655" s="19"/>
      <c r="K1655" s="233"/>
    </row>
    <row r="1656" spans="1:11" ht="1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5">
      <c r="B1688" s="19"/>
      <c r="C1688" s="19"/>
      <c r="D1688" s="107"/>
      <c r="E1688" s="19"/>
      <c r="F1688" s="19"/>
      <c r="G1688" s="19"/>
      <c r="H1688" s="19"/>
      <c r="I1688" s="19"/>
      <c r="J1688" s="19"/>
      <c r="K1688" s="233"/>
    </row>
    <row r="1689" spans="1:11" ht="15">
      <c r="B1689" s="19"/>
      <c r="C1689" s="19"/>
      <c r="D1689" s="107"/>
      <c r="E1689" s="112"/>
      <c r="F1689" s="19"/>
      <c r="G1689" s="19"/>
      <c r="H1689" s="19"/>
      <c r="I1689" s="19"/>
      <c r="J1689" s="19"/>
      <c r="K1689" s="233"/>
    </row>
    <row r="1690" spans="1:11" ht="31.5">
      <c r="A1690" s="218" t="s">
        <v>268</v>
      </c>
      <c r="B1690" s="24" t="s">
        <v>90</v>
      </c>
      <c r="C1690" s="25" t="s">
        <v>466</v>
      </c>
      <c r="D1690" s="26" t="s">
        <v>32</v>
      </c>
      <c r="E1690" s="123"/>
      <c r="K1690" s="233"/>
    </row>
    <row r="1691" spans="1:11" ht="15">
      <c r="A1691" s="219" t="n" cm="1">
        <f t="array" ref="A1691">IFERROR(INDEX('03.Muestra'!$B$8:$B$42,SMALL(IF("Documento no web"='03.Muestra'!$D$8:$D$42,ROW('03.Muestra'!$B$8:$B$42)-MIN(ROW('03.Muestra'!$D$8:$D$42))+1,""),ROW()-1690)),"")</f>
        <v>1.0</v>
      </c>
      <c r="B1691" s="114" t="str" cm="1">
        <f t="array" ref="B1691">IFERROR(INDEX('03.Muestra'!$C$8:$C$42,SMALL(IF("Documento no web"='03.Muestra'!$D$8:$D$42,ROW('03.Muestra'!$C$8:$C$42)-MIN(ROW('03.Muestra'!$D$8:$D$42))+1,""),ROW()-1690)),"")</f>
        <v>Home - PortCastelló</v>
      </c>
      <c r="C1691" s="114" t="str" cm="1">
        <f t="array" ref="C1691">IFERROR(INDEX('03.Muestra'!$F$8:$F$42,SMALL(IF("Documento no web"='03.Muestra'!$D$8:$D$42,ROW('03.Muestra'!$F$8:$F$42)-MIN(ROW('03.Muestra'!$D$8:$D$42))+1,""),ROW()-1690)),"")</f>
        <v>https://www.portcastello.com/</v>
      </c>
      <c r="D1691" s="130" t="s">
        <v>33</v>
      </c>
      <c r="E1691" s="107" t="str">
        <f t="shared" ref="E1691:E1725" si="88">IF(D1691&lt;&gt;"",IF(AND(B1691&lt;&gt;"",C1691&lt;&gt;""),"","ERR"),"")</f>
        <v/>
      </c>
      <c r="F1691" s="115" t="s">
        <v>33</v>
      </c>
      <c r="G1691" s="116" t="s">
        <v>37</v>
      </c>
      <c r="H1691" s="117" t="s">
        <v>35</v>
      </c>
      <c r="I1691" s="118" t="s">
        <v>28</v>
      </c>
      <c r="J1691" s="119" t="s">
        <v>26</v>
      </c>
      <c r="K1691" s="226" t="s">
        <v>474</v>
      </c>
    </row>
    <row r="1692" spans="1:11" ht="15">
      <c r="A1692" s="219" t="n" cm="1">
        <f t="array" ref="A1692">IFERROR(INDEX('03.Muestra'!$B$8:$B$42,SMALL(IF("Documento no web"='03.Muestra'!$D$8:$D$42,ROW('03.Muestra'!$B$8:$B$42)-MIN(ROW('03.Muestra'!$D$8:$D$42))+1,""),ROW()-1690)),"")</f>
        <v>1.0</v>
      </c>
      <c r="B1692" s="114" t="str" cm="1">
        <f t="array" ref="B1692">IFERROR(INDEX('03.Muestra'!$C$8:$C$42,SMALL(IF("Documento no web"='03.Muestra'!$D$8:$D$42,ROW('03.Muestra'!$C$8:$C$42)-MIN(ROW('03.Muestra'!$D$8:$D$42))+1,""),ROW()-1690)),"")</f>
        <v>Home - PortCastelló</v>
      </c>
      <c r="C1692" s="114" t="str" cm="1">
        <f t="array" ref="C1692">IFERROR(INDEX('03.Muestra'!$F$8:$F$42,SMALL(IF("Documento no web"='03.Muestra'!$D$8:$D$42,ROW('03.Muestra'!$F$8:$F$42)-MIN(ROW('03.Muestra'!$D$8:$D$42))+1,""),ROW()-1690)),"")</f>
        <v>https://www.portcastello.com/</v>
      </c>
      <c r="D1692" s="130" t="s">
        <v>33</v>
      </c>
      <c r="E1692" s="107" t="str">
        <f t="shared" si="88"/>
        <v/>
      </c>
      <c r="F1692" s="120" t="n">
        <f ca="1">COUNTIF($D1691:INDIRECT("$D" &amp;  SUM(ROW()-1,'03.Muestra'!$D$45)-1),F1691)</f>
        <v>2.0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IF(COUNTIF('03.Muestra'!$D$8:$D$42,"Documento no web")=0,0,COUNTBLANK($D1691:INDIRECT("$D" &amp;  SUM(ROW()-1,COUNTIF('03.Muestra'!$D$8:$D$42,"Documento no web"))-1)))</f>
        <v>0.0</v>
      </c>
    </row>
    <row r="1693" spans="1:11" ht="1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ref="D1693:D1725">IF(AND(B1693&lt;&gt;"",C1693&lt;&gt;""),"N/T","")</f>
        <v/>
      </c>
      <c r="E1693" s="107" t="str">
        <f t="shared" si="88"/>
        <v/>
      </c>
      <c r="G1693" s="19"/>
      <c r="H1693" s="19"/>
      <c r="I1693" s="19"/>
      <c r="J1693" s="19"/>
      <c r="K1693" s="233"/>
    </row>
    <row r="1694" spans="1:11" ht="1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CalcPr fullCalcOnLoad="true"/>
  <sheetProtection password="DC4E" sheet="true" scenarios="true" objects="true"/>
  <mergeCells count="3">
    <mergeCell ref="B11:C11"/>
    <mergeCell ref="B8:M8"/>
    <mergeCell ref="B9:M9"/>
  </mergeCells>
  <conditionalFormatting sqref="E665:E699 E57:E91 E95:E129 E133:E167 E171:E205 E209:E243 E247:E281 E285:E319 E323:E357 E361:E395 E399:E433 E437:E471 E475:E509 E513:E547 E551:E585 E589:E623 E627:E661 E703:E737 E19:E53">
    <cfRule type="cellIs" dxfId="569" priority="687" stopIfTrue="1" operator="equal">
      <formula>"ERR"</formula>
    </cfRule>
  </conditionalFormatting>
  <conditionalFormatting sqref="F19:J19 F57:J57 F95:J95 F133:J133 F171:J171 F209:J209 F247:J247 F285:J285 F323:J323 F361:J361 F399:J399 F437:J437 F475:J475 F513:J513 F551:J551 F589:J589 F627:J627 F665:J665 F703:J703 F1273:J1273 F741:J741 F779:J779 F817:J817 F855:J855 F893:J893 F931:J931 F1007:J1007 F1045:J1045 F1083:J1083 F1121:J1121 F1159:J1159 F1197:J1197 F1235:J1235 F1311:J1311 F1387:J1387 F1425:J1425 F1463:J1463 F1501:J1501 F1539:J1539 F1577:J1577 F1615:J1615 F1653:J1653 F969:J969 F1349:J1349 F1691:J1691">
    <cfRule type="expression" dxfId="568" priority="681" stopIfTrue="1">
      <formula>ISBLANK(F19)</formula>
    </cfRule>
    <cfRule type="cellIs" dxfId="567" priority="682" stopIfTrue="1" operator="equal">
      <formula>"Pasa"</formula>
    </cfRule>
    <cfRule type="cellIs" dxfId="566" priority="683" stopIfTrue="1" operator="equal">
      <formula>"Falla"</formula>
    </cfRule>
    <cfRule type="cellIs" dxfId="565" priority="684" stopIfTrue="1" operator="equal">
      <formula>"N/A"</formula>
    </cfRule>
    <cfRule type="cellIs" dxfId="564" priority="685" stopIfTrue="1" operator="equal">
      <formula>"N/T"</formula>
    </cfRule>
    <cfRule type="cellIs" dxfId="563" priority="686" stopIfTrue="1" operator="equal">
      <formula>"N/D"</formula>
    </cfRule>
  </conditionalFormatting>
  <conditionalFormatting sqref="E741:E775 E779:E813 E817:E851 E855:E889 E893:E927 E931:E965 E1007:E1041 E1045:E1079 E1083:E1117 E1121:E1155 E1159:E1193 E1197:E1231 E1235:E1269 E1273:E1307">
    <cfRule type="cellIs" dxfId="562" priority="566" stopIfTrue="1" operator="equal">
      <formula>"ERR"</formula>
    </cfRule>
  </conditionalFormatting>
  <conditionalFormatting sqref="E1311:E1345 E1387:E1421 E1425:E1459 E1463:E1497 E1501:E1535 E1539:E1573 E1577:E1611">
    <cfRule type="cellIs" dxfId="561" priority="475" operator="equal">
      <formula>"ERR"</formula>
    </cfRule>
  </conditionalFormatting>
  <conditionalFormatting sqref="E1615:E1649 E1653:E1687">
    <cfRule type="cellIs" dxfId="560" priority="426" stopIfTrue="1" operator="equal">
      <formula>"ERR"</formula>
    </cfRule>
  </conditionalFormatting>
  <conditionalFormatting sqref="E969:E1004">
    <cfRule type="cellIs" dxfId="559" priority="407" stopIfTrue="1" operator="equal">
      <formula>"ERR"</formula>
    </cfRule>
  </conditionalFormatting>
  <conditionalFormatting sqref="E1349:E1383">
    <cfRule type="cellIs" dxfId="558" priority="394" operator="equal">
      <formula>"ERR"</formula>
    </cfRule>
  </conditionalFormatting>
  <conditionalFormatting sqref="D19:D53">
    <cfRule type="expression" dxfId="557" priority="350" stopIfTrue="1">
      <formula>ISBLANK(D19)</formula>
    </cfRule>
    <cfRule type="cellIs" dxfId="556" priority="351" stopIfTrue="1" operator="equal">
      <formula>"Pasa"</formula>
    </cfRule>
    <cfRule type="cellIs" dxfId="555" priority="352" stopIfTrue="1" operator="equal">
      <formula>"Falla"</formula>
    </cfRule>
    <cfRule type="cellIs" dxfId="554" priority="353" stopIfTrue="1" operator="equal">
      <formula>"N/A"</formula>
    </cfRule>
    <cfRule type="cellIs" dxfId="553" priority="354" stopIfTrue="1" operator="equal">
      <formula>"N/T"</formula>
    </cfRule>
    <cfRule type="cellIs" dxfId="552" priority="355" stopIfTrue="1" operator="equal">
      <formula>"N/D"</formula>
    </cfRule>
  </conditionalFormatting>
  <conditionalFormatting sqref="D19:D53">
    <cfRule type="cellIs" dxfId="551" priority="349" stopIfTrue="1" operator="equal">
      <formula>"-"</formula>
    </cfRule>
  </conditionalFormatting>
  <conditionalFormatting sqref="D57:D91">
    <cfRule type="expression" dxfId="550" priority="343" stopIfTrue="1">
      <formula>ISBLANK(D57)</formula>
    </cfRule>
    <cfRule type="cellIs" dxfId="549" priority="344" stopIfTrue="1" operator="equal">
      <formula>"Pasa"</formula>
    </cfRule>
    <cfRule type="cellIs" dxfId="548" priority="345" stopIfTrue="1" operator="equal">
      <formula>"Falla"</formula>
    </cfRule>
    <cfRule type="cellIs" dxfId="547" priority="346" stopIfTrue="1" operator="equal">
      <formula>"N/A"</formula>
    </cfRule>
    <cfRule type="cellIs" dxfId="546" priority="347" stopIfTrue="1" operator="equal">
      <formula>"N/T"</formula>
    </cfRule>
    <cfRule type="cellIs" dxfId="545" priority="348" stopIfTrue="1" operator="equal">
      <formula>"N/D"</formula>
    </cfRule>
  </conditionalFormatting>
  <conditionalFormatting sqref="D57:D91">
    <cfRule type="cellIs" dxfId="544" priority="342" stopIfTrue="1" operator="equal">
      <formula>"-"</formula>
    </cfRule>
  </conditionalFormatting>
  <conditionalFormatting sqref="D95:D129">
    <cfRule type="expression" dxfId="543" priority="336" stopIfTrue="1">
      <formula>ISBLANK(D95)</formula>
    </cfRule>
    <cfRule type="cellIs" dxfId="542" priority="337" stopIfTrue="1" operator="equal">
      <formula>"Pasa"</formula>
    </cfRule>
    <cfRule type="cellIs" dxfId="541" priority="338" stopIfTrue="1" operator="equal">
      <formula>"Falla"</formula>
    </cfRule>
    <cfRule type="cellIs" dxfId="540" priority="339" stopIfTrue="1" operator="equal">
      <formula>"N/A"</formula>
    </cfRule>
    <cfRule type="cellIs" dxfId="539" priority="340" stopIfTrue="1" operator="equal">
      <formula>"N/T"</formula>
    </cfRule>
    <cfRule type="cellIs" dxfId="538" priority="341" stopIfTrue="1" operator="equal">
      <formula>"N/D"</formula>
    </cfRule>
  </conditionalFormatting>
  <conditionalFormatting sqref="D95:D129">
    <cfRule type="cellIs" dxfId="537" priority="335" stopIfTrue="1" operator="equal">
      <formula>"-"</formula>
    </cfRule>
  </conditionalFormatting>
  <conditionalFormatting sqref="D133:D167">
    <cfRule type="expression" dxfId="536" priority="329" stopIfTrue="1">
      <formula>ISBLANK(D133)</formula>
    </cfRule>
    <cfRule type="cellIs" dxfId="535" priority="330" stopIfTrue="1" operator="equal">
      <formula>"Pasa"</formula>
    </cfRule>
    <cfRule type="cellIs" dxfId="534" priority="331" stopIfTrue="1" operator="equal">
      <formula>"Falla"</formula>
    </cfRule>
    <cfRule type="cellIs" dxfId="533" priority="332" stopIfTrue="1" operator="equal">
      <formula>"N/A"</formula>
    </cfRule>
    <cfRule type="cellIs" dxfId="532" priority="333" stopIfTrue="1" operator="equal">
      <formula>"N/T"</formula>
    </cfRule>
    <cfRule type="cellIs" dxfId="531" priority="334" stopIfTrue="1" operator="equal">
      <formula>"N/D"</formula>
    </cfRule>
  </conditionalFormatting>
  <conditionalFormatting sqref="D133:D167">
    <cfRule type="cellIs" dxfId="530" priority="328" stopIfTrue="1" operator="equal">
      <formula>"-"</formula>
    </cfRule>
  </conditionalFormatting>
  <conditionalFormatting sqref="D171:D205">
    <cfRule type="expression" dxfId="529" priority="315" stopIfTrue="1">
      <formula>ISBLANK(D171)</formula>
    </cfRule>
    <cfRule type="cellIs" dxfId="528" priority="316" stopIfTrue="1" operator="equal">
      <formula>"Pasa"</formula>
    </cfRule>
    <cfRule type="cellIs" dxfId="527" priority="317" stopIfTrue="1" operator="equal">
      <formula>"Falla"</formula>
    </cfRule>
    <cfRule type="cellIs" dxfId="526" priority="318" stopIfTrue="1" operator="equal">
      <formula>"N/A"</formula>
    </cfRule>
    <cfRule type="cellIs" dxfId="525" priority="319" stopIfTrue="1" operator="equal">
      <formula>"N/T"</formula>
    </cfRule>
    <cfRule type="cellIs" dxfId="524" priority="320" stopIfTrue="1" operator="equal">
      <formula>"N/D"</formula>
    </cfRule>
  </conditionalFormatting>
  <conditionalFormatting sqref="D171:D205">
    <cfRule type="cellIs" dxfId="523" priority="314" stopIfTrue="1" operator="equal">
      <formula>"-"</formula>
    </cfRule>
  </conditionalFormatting>
  <conditionalFormatting sqref="D209:D243">
    <cfRule type="expression" dxfId="522" priority="308" stopIfTrue="1">
      <formula>ISBLANK(D209)</formula>
    </cfRule>
    <cfRule type="cellIs" dxfId="521" priority="309" stopIfTrue="1" operator="equal">
      <formula>"Pasa"</formula>
    </cfRule>
    <cfRule type="cellIs" dxfId="520" priority="310" stopIfTrue="1" operator="equal">
      <formula>"Falla"</formula>
    </cfRule>
    <cfRule type="cellIs" dxfId="519" priority="311" stopIfTrue="1" operator="equal">
      <formula>"N/A"</formula>
    </cfRule>
    <cfRule type="cellIs" dxfId="518" priority="312" stopIfTrue="1" operator="equal">
      <formula>"N/T"</formula>
    </cfRule>
    <cfRule type="cellIs" dxfId="517" priority="313" stopIfTrue="1" operator="equal">
      <formula>"N/D"</formula>
    </cfRule>
  </conditionalFormatting>
  <conditionalFormatting sqref="D209:D243">
    <cfRule type="cellIs" dxfId="516" priority="307" stopIfTrue="1" operator="equal">
      <formula>"-"</formula>
    </cfRule>
  </conditionalFormatting>
  <conditionalFormatting sqref="D247:D281">
    <cfRule type="expression" dxfId="515" priority="301" stopIfTrue="1">
      <formula>ISBLANK(D247)</formula>
    </cfRule>
    <cfRule type="cellIs" dxfId="514" priority="302" stopIfTrue="1" operator="equal">
      <formula>"Pasa"</formula>
    </cfRule>
    <cfRule type="cellIs" dxfId="513" priority="303" stopIfTrue="1" operator="equal">
      <formula>"Falla"</formula>
    </cfRule>
    <cfRule type="cellIs" dxfId="512" priority="304" stopIfTrue="1" operator="equal">
      <formula>"N/A"</formula>
    </cfRule>
    <cfRule type="cellIs" dxfId="511" priority="305" stopIfTrue="1" operator="equal">
      <formula>"N/T"</formula>
    </cfRule>
    <cfRule type="cellIs" dxfId="510" priority="306" stopIfTrue="1" operator="equal">
      <formula>"N/D"</formula>
    </cfRule>
  </conditionalFormatting>
  <conditionalFormatting sqref="D247:D281">
    <cfRule type="cellIs" dxfId="509" priority="300" stopIfTrue="1" operator="equal">
      <formula>"-"</formula>
    </cfRule>
  </conditionalFormatting>
  <conditionalFormatting sqref="D285:D319">
    <cfRule type="expression" dxfId="508" priority="294" stopIfTrue="1">
      <formula>ISBLANK(D285)</formula>
    </cfRule>
    <cfRule type="cellIs" dxfId="507" priority="295" stopIfTrue="1" operator="equal">
      <formula>"Pasa"</formula>
    </cfRule>
    <cfRule type="cellIs" dxfId="506" priority="296" stopIfTrue="1" operator="equal">
      <formula>"Falla"</formula>
    </cfRule>
    <cfRule type="cellIs" dxfId="505" priority="297" stopIfTrue="1" operator="equal">
      <formula>"N/A"</formula>
    </cfRule>
    <cfRule type="cellIs" dxfId="504" priority="298" stopIfTrue="1" operator="equal">
      <formula>"N/T"</formula>
    </cfRule>
    <cfRule type="cellIs" dxfId="503" priority="299" stopIfTrue="1" operator="equal">
      <formula>"N/D"</formula>
    </cfRule>
  </conditionalFormatting>
  <conditionalFormatting sqref="D285:D319">
    <cfRule type="cellIs" dxfId="502" priority="293" stopIfTrue="1" operator="equal">
      <formula>"-"</formula>
    </cfRule>
  </conditionalFormatting>
  <conditionalFormatting sqref="D323:D357">
    <cfRule type="expression" dxfId="501" priority="287" stopIfTrue="1">
      <formula>ISBLANK(D323)</formula>
    </cfRule>
    <cfRule type="cellIs" dxfId="500" priority="288" stopIfTrue="1" operator="equal">
      <formula>"Pasa"</formula>
    </cfRule>
    <cfRule type="cellIs" dxfId="499" priority="289" stopIfTrue="1" operator="equal">
      <formula>"Falla"</formula>
    </cfRule>
    <cfRule type="cellIs" dxfId="498" priority="290" stopIfTrue="1" operator="equal">
      <formula>"N/A"</formula>
    </cfRule>
    <cfRule type="cellIs" dxfId="497" priority="291" stopIfTrue="1" operator="equal">
      <formula>"N/T"</formula>
    </cfRule>
    <cfRule type="cellIs" dxfId="496" priority="292" stopIfTrue="1" operator="equal">
      <formula>"N/D"</formula>
    </cfRule>
  </conditionalFormatting>
  <conditionalFormatting sqref="D323:D357">
    <cfRule type="cellIs" dxfId="495" priority="286" stopIfTrue="1" operator="equal">
      <formula>"-"</formula>
    </cfRule>
  </conditionalFormatting>
  <conditionalFormatting sqref="D361:D395">
    <cfRule type="expression" dxfId="494" priority="280" stopIfTrue="1">
      <formula>ISBLANK(D361)</formula>
    </cfRule>
    <cfRule type="cellIs" dxfId="493" priority="281" stopIfTrue="1" operator="equal">
      <formula>"Pasa"</formula>
    </cfRule>
    <cfRule type="cellIs" dxfId="492" priority="282" stopIfTrue="1" operator="equal">
      <formula>"Falla"</formula>
    </cfRule>
    <cfRule type="cellIs" dxfId="491" priority="283" stopIfTrue="1" operator="equal">
      <formula>"N/A"</formula>
    </cfRule>
    <cfRule type="cellIs" dxfId="490" priority="284" stopIfTrue="1" operator="equal">
      <formula>"N/T"</formula>
    </cfRule>
    <cfRule type="cellIs" dxfId="489" priority="285" stopIfTrue="1" operator="equal">
      <formula>"N/D"</formula>
    </cfRule>
  </conditionalFormatting>
  <conditionalFormatting sqref="D361:D395">
    <cfRule type="cellIs" dxfId="488" priority="279" stopIfTrue="1" operator="equal">
      <formula>"-"</formula>
    </cfRule>
  </conditionalFormatting>
  <conditionalFormatting sqref="D399:D433">
    <cfRule type="expression" dxfId="487" priority="273" stopIfTrue="1">
      <formula>ISBLANK(D399)</formula>
    </cfRule>
    <cfRule type="cellIs" dxfId="486" priority="274" stopIfTrue="1" operator="equal">
      <formula>"Pasa"</formula>
    </cfRule>
    <cfRule type="cellIs" dxfId="485" priority="275" stopIfTrue="1" operator="equal">
      <formula>"Falla"</formula>
    </cfRule>
    <cfRule type="cellIs" dxfId="484" priority="276" stopIfTrue="1" operator="equal">
      <formula>"N/A"</formula>
    </cfRule>
    <cfRule type="cellIs" dxfId="483" priority="277" stopIfTrue="1" operator="equal">
      <formula>"N/T"</formula>
    </cfRule>
    <cfRule type="cellIs" dxfId="482" priority="278" stopIfTrue="1" operator="equal">
      <formula>"N/D"</formula>
    </cfRule>
  </conditionalFormatting>
  <conditionalFormatting sqref="D399:D433">
    <cfRule type="cellIs" dxfId="481" priority="272" stopIfTrue="1" operator="equal">
      <formula>"-"</formula>
    </cfRule>
  </conditionalFormatting>
  <conditionalFormatting sqref="D437:D471">
    <cfRule type="expression" dxfId="480" priority="266" stopIfTrue="1">
      <formula>ISBLANK(D437)</formula>
    </cfRule>
    <cfRule type="cellIs" dxfId="479" priority="267" stopIfTrue="1" operator="equal">
      <formula>"Pasa"</formula>
    </cfRule>
    <cfRule type="cellIs" dxfId="478" priority="268" stopIfTrue="1" operator="equal">
      <formula>"Falla"</formula>
    </cfRule>
    <cfRule type="cellIs" dxfId="477" priority="269" stopIfTrue="1" operator="equal">
      <formula>"N/A"</formula>
    </cfRule>
    <cfRule type="cellIs" dxfId="476" priority="270" stopIfTrue="1" operator="equal">
      <formula>"N/T"</formula>
    </cfRule>
    <cfRule type="cellIs" dxfId="475" priority="271" stopIfTrue="1" operator="equal">
      <formula>"N/D"</formula>
    </cfRule>
  </conditionalFormatting>
  <conditionalFormatting sqref="D437:D471">
    <cfRule type="cellIs" dxfId="474" priority="265" stopIfTrue="1" operator="equal">
      <formula>"-"</formula>
    </cfRule>
  </conditionalFormatting>
  <conditionalFormatting sqref="D475:D509">
    <cfRule type="expression" dxfId="473" priority="259" stopIfTrue="1">
      <formula>ISBLANK(D475)</formula>
    </cfRule>
    <cfRule type="cellIs" dxfId="472" priority="260" stopIfTrue="1" operator="equal">
      <formula>"Pasa"</formula>
    </cfRule>
    <cfRule type="cellIs" dxfId="471" priority="261" stopIfTrue="1" operator="equal">
      <formula>"Falla"</formula>
    </cfRule>
    <cfRule type="cellIs" dxfId="470" priority="262" stopIfTrue="1" operator="equal">
      <formula>"N/A"</formula>
    </cfRule>
    <cfRule type="cellIs" dxfId="469" priority="263" stopIfTrue="1" operator="equal">
      <formula>"N/T"</formula>
    </cfRule>
    <cfRule type="cellIs" dxfId="468" priority="264" stopIfTrue="1" operator="equal">
      <formula>"N/D"</formula>
    </cfRule>
  </conditionalFormatting>
  <conditionalFormatting sqref="D475:D509">
    <cfRule type="cellIs" dxfId="467" priority="258" stopIfTrue="1" operator="equal">
      <formula>"-"</formula>
    </cfRule>
  </conditionalFormatting>
  <conditionalFormatting sqref="D513:D547">
    <cfRule type="expression" dxfId="466" priority="252" stopIfTrue="1">
      <formula>ISBLANK(D513)</formula>
    </cfRule>
    <cfRule type="cellIs" dxfId="465" priority="253" stopIfTrue="1" operator="equal">
      <formula>"Pasa"</formula>
    </cfRule>
    <cfRule type="cellIs" dxfId="464" priority="254" stopIfTrue="1" operator="equal">
      <formula>"Falla"</formula>
    </cfRule>
    <cfRule type="cellIs" dxfId="463" priority="255" stopIfTrue="1" operator="equal">
      <formula>"N/A"</formula>
    </cfRule>
    <cfRule type="cellIs" dxfId="462" priority="256" stopIfTrue="1" operator="equal">
      <formula>"N/T"</formula>
    </cfRule>
    <cfRule type="cellIs" dxfId="461" priority="257" stopIfTrue="1" operator="equal">
      <formula>"N/D"</formula>
    </cfRule>
  </conditionalFormatting>
  <conditionalFormatting sqref="D513:D547">
    <cfRule type="cellIs" dxfId="460" priority="251" stopIfTrue="1" operator="equal">
      <formula>"-"</formula>
    </cfRule>
  </conditionalFormatting>
  <conditionalFormatting sqref="D551:D585">
    <cfRule type="expression" dxfId="459" priority="245" stopIfTrue="1">
      <formula>ISBLANK(D551)</formula>
    </cfRule>
    <cfRule type="cellIs" dxfId="458" priority="246" stopIfTrue="1" operator="equal">
      <formula>"Pasa"</formula>
    </cfRule>
    <cfRule type="cellIs" dxfId="457" priority="247" stopIfTrue="1" operator="equal">
      <formula>"Falla"</formula>
    </cfRule>
    <cfRule type="cellIs" dxfId="456" priority="248" stopIfTrue="1" operator="equal">
      <formula>"N/A"</formula>
    </cfRule>
    <cfRule type="cellIs" dxfId="455" priority="249" stopIfTrue="1" operator="equal">
      <formula>"N/T"</formula>
    </cfRule>
    <cfRule type="cellIs" dxfId="454" priority="250" stopIfTrue="1" operator="equal">
      <formula>"N/D"</formula>
    </cfRule>
  </conditionalFormatting>
  <conditionalFormatting sqref="D551:D585">
    <cfRule type="cellIs" dxfId="453" priority="244" stopIfTrue="1" operator="equal">
      <formula>"-"</formula>
    </cfRule>
  </conditionalFormatting>
  <conditionalFormatting sqref="D589:D623">
    <cfRule type="expression" dxfId="452" priority="238" stopIfTrue="1">
      <formula>ISBLANK(D589)</formula>
    </cfRule>
    <cfRule type="cellIs" dxfId="451" priority="239" stopIfTrue="1" operator="equal">
      <formula>"Pasa"</formula>
    </cfRule>
    <cfRule type="cellIs" dxfId="450" priority="240" stopIfTrue="1" operator="equal">
      <formula>"Falla"</formula>
    </cfRule>
    <cfRule type="cellIs" dxfId="449" priority="241" stopIfTrue="1" operator="equal">
      <formula>"N/A"</formula>
    </cfRule>
    <cfRule type="cellIs" dxfId="448" priority="242" stopIfTrue="1" operator="equal">
      <formula>"N/T"</formula>
    </cfRule>
    <cfRule type="cellIs" dxfId="447" priority="243" stopIfTrue="1" operator="equal">
      <formula>"N/D"</formula>
    </cfRule>
  </conditionalFormatting>
  <conditionalFormatting sqref="D589:D623">
    <cfRule type="cellIs" dxfId="446" priority="237" stopIfTrue="1" operator="equal">
      <formula>"-"</formula>
    </cfRule>
  </conditionalFormatting>
  <conditionalFormatting sqref="D627:D661">
    <cfRule type="expression" dxfId="445" priority="231" stopIfTrue="1">
      <formula>ISBLANK(D627)</formula>
    </cfRule>
    <cfRule type="cellIs" dxfId="444" priority="232" stopIfTrue="1" operator="equal">
      <formula>"Pasa"</formula>
    </cfRule>
    <cfRule type="cellIs" dxfId="443" priority="233" stopIfTrue="1" operator="equal">
      <formula>"Falla"</formula>
    </cfRule>
    <cfRule type="cellIs" dxfId="442" priority="234" stopIfTrue="1" operator="equal">
      <formula>"N/A"</formula>
    </cfRule>
    <cfRule type="cellIs" dxfId="441" priority="235" stopIfTrue="1" operator="equal">
      <formula>"N/T"</formula>
    </cfRule>
    <cfRule type="cellIs" dxfId="440" priority="236" stopIfTrue="1" operator="equal">
      <formula>"N/D"</formula>
    </cfRule>
  </conditionalFormatting>
  <conditionalFormatting sqref="D627:D661">
    <cfRule type="cellIs" dxfId="439" priority="230" stopIfTrue="1" operator="equal">
      <formula>"-"</formula>
    </cfRule>
  </conditionalFormatting>
  <conditionalFormatting sqref="D665:D699">
    <cfRule type="expression" dxfId="438" priority="224" stopIfTrue="1">
      <formula>ISBLANK(D665)</formula>
    </cfRule>
    <cfRule type="cellIs" dxfId="437" priority="225" stopIfTrue="1" operator="equal">
      <formula>"Pasa"</formula>
    </cfRule>
    <cfRule type="cellIs" dxfId="436" priority="226" stopIfTrue="1" operator="equal">
      <formula>"Falla"</formula>
    </cfRule>
    <cfRule type="cellIs" dxfId="435" priority="227" stopIfTrue="1" operator="equal">
      <formula>"N/A"</formula>
    </cfRule>
    <cfRule type="cellIs" dxfId="434" priority="228" stopIfTrue="1" operator="equal">
      <formula>"N/T"</formula>
    </cfRule>
    <cfRule type="cellIs" dxfId="433" priority="229" stopIfTrue="1" operator="equal">
      <formula>"N/D"</formula>
    </cfRule>
  </conditionalFormatting>
  <conditionalFormatting sqref="D665:D699">
    <cfRule type="cellIs" dxfId="432" priority="223" stopIfTrue="1" operator="equal">
      <formula>"-"</formula>
    </cfRule>
  </conditionalFormatting>
  <conditionalFormatting sqref="D703:D737">
    <cfRule type="expression" dxfId="431" priority="217" stopIfTrue="1">
      <formula>ISBLANK(D703)</formula>
    </cfRule>
    <cfRule type="cellIs" dxfId="430" priority="218" stopIfTrue="1" operator="equal">
      <formula>"Pasa"</formula>
    </cfRule>
    <cfRule type="cellIs" dxfId="429" priority="219" stopIfTrue="1" operator="equal">
      <formula>"Falla"</formula>
    </cfRule>
    <cfRule type="cellIs" dxfId="428" priority="220" stopIfTrue="1" operator="equal">
      <formula>"N/A"</formula>
    </cfRule>
    <cfRule type="cellIs" dxfId="427" priority="221" stopIfTrue="1" operator="equal">
      <formula>"N/T"</formula>
    </cfRule>
    <cfRule type="cellIs" dxfId="426" priority="222" stopIfTrue="1" operator="equal">
      <formula>"N/D"</formula>
    </cfRule>
  </conditionalFormatting>
  <conditionalFormatting sqref="D703:D737">
    <cfRule type="cellIs" dxfId="425" priority="216" stopIfTrue="1" operator="equal">
      <formula>"-"</formula>
    </cfRule>
  </conditionalFormatting>
  <conditionalFormatting sqref="D741:D775">
    <cfRule type="expression" dxfId="424" priority="210" stopIfTrue="1">
      <formula>ISBLANK(D741)</formula>
    </cfRule>
    <cfRule type="cellIs" dxfId="423" priority="211" stopIfTrue="1" operator="equal">
      <formula>"Pasa"</formula>
    </cfRule>
    <cfRule type="cellIs" dxfId="422" priority="212" stopIfTrue="1" operator="equal">
      <formula>"Falla"</formula>
    </cfRule>
    <cfRule type="cellIs" dxfId="421" priority="213" stopIfTrue="1" operator="equal">
      <formula>"N/A"</formula>
    </cfRule>
    <cfRule type="cellIs" dxfId="420" priority="214" stopIfTrue="1" operator="equal">
      <formula>"N/T"</formula>
    </cfRule>
    <cfRule type="cellIs" dxfId="419" priority="215" stopIfTrue="1" operator="equal">
      <formula>"N/D"</formula>
    </cfRule>
  </conditionalFormatting>
  <conditionalFormatting sqref="D741:D775">
    <cfRule type="cellIs" dxfId="418" priority="209" stopIfTrue="1" operator="equal">
      <formula>"-"</formula>
    </cfRule>
  </conditionalFormatting>
  <conditionalFormatting sqref="D779:D813">
    <cfRule type="expression" dxfId="417" priority="203" stopIfTrue="1">
      <formula>ISBLANK(D779)</formula>
    </cfRule>
    <cfRule type="cellIs" dxfId="416" priority="204" stopIfTrue="1" operator="equal">
      <formula>"Pasa"</formula>
    </cfRule>
    <cfRule type="cellIs" dxfId="415" priority="205" stopIfTrue="1" operator="equal">
      <formula>"Falla"</formula>
    </cfRule>
    <cfRule type="cellIs" dxfId="414" priority="206" stopIfTrue="1" operator="equal">
      <formula>"N/A"</formula>
    </cfRule>
    <cfRule type="cellIs" dxfId="413" priority="207" stopIfTrue="1" operator="equal">
      <formula>"N/T"</formula>
    </cfRule>
    <cfRule type="cellIs" dxfId="412" priority="208" stopIfTrue="1" operator="equal">
      <formula>"N/D"</formula>
    </cfRule>
  </conditionalFormatting>
  <conditionalFormatting sqref="D779:D813">
    <cfRule type="cellIs" dxfId="411" priority="202" stopIfTrue="1" operator="equal">
      <formula>"-"</formula>
    </cfRule>
  </conditionalFormatting>
  <conditionalFormatting sqref="D817:D851">
    <cfRule type="expression" dxfId="410" priority="196" stopIfTrue="1">
      <formula>ISBLANK(D817)</formula>
    </cfRule>
    <cfRule type="cellIs" dxfId="409" priority="197" stopIfTrue="1" operator="equal">
      <formula>"Pasa"</formula>
    </cfRule>
    <cfRule type="cellIs" dxfId="408" priority="198" stopIfTrue="1" operator="equal">
      <formula>"Falla"</formula>
    </cfRule>
    <cfRule type="cellIs" dxfId="407" priority="199" stopIfTrue="1" operator="equal">
      <formula>"N/A"</formula>
    </cfRule>
    <cfRule type="cellIs" dxfId="406" priority="200" stopIfTrue="1" operator="equal">
      <formula>"N/T"</formula>
    </cfRule>
    <cfRule type="cellIs" dxfId="405" priority="201" stopIfTrue="1" operator="equal">
      <formula>"N/D"</formula>
    </cfRule>
  </conditionalFormatting>
  <conditionalFormatting sqref="D817:D851">
    <cfRule type="cellIs" dxfId="404" priority="195" stopIfTrue="1" operator="equal">
      <formula>"-"</formula>
    </cfRule>
  </conditionalFormatting>
  <conditionalFormatting sqref="D855:D889">
    <cfRule type="expression" dxfId="403" priority="189" stopIfTrue="1">
      <formula>ISBLANK(D855)</formula>
    </cfRule>
    <cfRule type="cellIs" dxfId="402" priority="190" stopIfTrue="1" operator="equal">
      <formula>"Pasa"</formula>
    </cfRule>
    <cfRule type="cellIs" dxfId="401" priority="191" stopIfTrue="1" operator="equal">
      <formula>"Falla"</formula>
    </cfRule>
    <cfRule type="cellIs" dxfId="400" priority="192" stopIfTrue="1" operator="equal">
      <formula>"N/A"</formula>
    </cfRule>
    <cfRule type="cellIs" dxfId="399" priority="193" stopIfTrue="1" operator="equal">
      <formula>"N/T"</formula>
    </cfRule>
    <cfRule type="cellIs" dxfId="398" priority="194" stopIfTrue="1" operator="equal">
      <formula>"N/D"</formula>
    </cfRule>
  </conditionalFormatting>
  <conditionalFormatting sqref="D855:D889">
    <cfRule type="cellIs" dxfId="397" priority="188" stopIfTrue="1" operator="equal">
      <formula>"-"</formula>
    </cfRule>
  </conditionalFormatting>
  <conditionalFormatting sqref="D893:D927">
    <cfRule type="expression" dxfId="396" priority="182" stopIfTrue="1">
      <formula>ISBLANK(D893)</formula>
    </cfRule>
    <cfRule type="cellIs" dxfId="395" priority="183" stopIfTrue="1" operator="equal">
      <formula>"Pasa"</formula>
    </cfRule>
    <cfRule type="cellIs" dxfId="394" priority="184" stopIfTrue="1" operator="equal">
      <formula>"Falla"</formula>
    </cfRule>
    <cfRule type="cellIs" dxfId="393" priority="185" stopIfTrue="1" operator="equal">
      <formula>"N/A"</formula>
    </cfRule>
    <cfRule type="cellIs" dxfId="392" priority="186" stopIfTrue="1" operator="equal">
      <formula>"N/T"</formula>
    </cfRule>
    <cfRule type="cellIs" dxfId="391" priority="187" stopIfTrue="1" operator="equal">
      <formula>"N/D"</formula>
    </cfRule>
  </conditionalFormatting>
  <conditionalFormatting sqref="D893:D927">
    <cfRule type="cellIs" dxfId="390" priority="181" stopIfTrue="1" operator="equal">
      <formula>"-"</formula>
    </cfRule>
  </conditionalFormatting>
  <conditionalFormatting sqref="D931:D965">
    <cfRule type="expression" dxfId="389" priority="175" stopIfTrue="1">
      <formula>ISBLANK(D931)</formula>
    </cfRule>
    <cfRule type="cellIs" dxfId="388" priority="176" stopIfTrue="1" operator="equal">
      <formula>"Pasa"</formula>
    </cfRule>
    <cfRule type="cellIs" dxfId="387" priority="177" stopIfTrue="1" operator="equal">
      <formula>"Falla"</formula>
    </cfRule>
    <cfRule type="cellIs" dxfId="386" priority="178" stopIfTrue="1" operator="equal">
      <formula>"N/A"</formula>
    </cfRule>
    <cfRule type="cellIs" dxfId="385" priority="179" stopIfTrue="1" operator="equal">
      <formula>"N/T"</formula>
    </cfRule>
    <cfRule type="cellIs" dxfId="384" priority="180" stopIfTrue="1" operator="equal">
      <formula>"N/D"</formula>
    </cfRule>
  </conditionalFormatting>
  <conditionalFormatting sqref="D931:D965">
    <cfRule type="cellIs" dxfId="383" priority="174" stopIfTrue="1" operator="equal">
      <formula>"-"</formula>
    </cfRule>
  </conditionalFormatting>
  <conditionalFormatting sqref="D969:D1003">
    <cfRule type="expression" dxfId="382" priority="168" stopIfTrue="1">
      <formula>ISBLANK(D969)</formula>
    </cfRule>
    <cfRule type="cellIs" dxfId="381" priority="169" stopIfTrue="1" operator="equal">
      <formula>"Pasa"</formula>
    </cfRule>
    <cfRule type="cellIs" dxfId="380" priority="170" stopIfTrue="1" operator="equal">
      <formula>"Falla"</formula>
    </cfRule>
    <cfRule type="cellIs" dxfId="379" priority="171" stopIfTrue="1" operator="equal">
      <formula>"N/A"</formula>
    </cfRule>
    <cfRule type="cellIs" dxfId="378" priority="172" stopIfTrue="1" operator="equal">
      <formula>"N/T"</formula>
    </cfRule>
    <cfRule type="cellIs" dxfId="377" priority="173" stopIfTrue="1" operator="equal">
      <formula>"N/D"</formula>
    </cfRule>
  </conditionalFormatting>
  <conditionalFormatting sqref="D969:D1003">
    <cfRule type="cellIs" dxfId="376" priority="167" stopIfTrue="1" operator="equal">
      <formula>"-"</formula>
    </cfRule>
  </conditionalFormatting>
  <conditionalFormatting sqref="D1007:D1041">
    <cfRule type="expression" dxfId="375" priority="161" stopIfTrue="1">
      <formula>ISBLANK(D1007)</formula>
    </cfRule>
    <cfRule type="cellIs" dxfId="374" priority="162" stopIfTrue="1" operator="equal">
      <formula>"Pasa"</formula>
    </cfRule>
    <cfRule type="cellIs" dxfId="373" priority="163" stopIfTrue="1" operator="equal">
      <formula>"Falla"</formula>
    </cfRule>
    <cfRule type="cellIs" dxfId="372" priority="164" stopIfTrue="1" operator="equal">
      <formula>"N/A"</formula>
    </cfRule>
    <cfRule type="cellIs" dxfId="371" priority="165" stopIfTrue="1" operator="equal">
      <formula>"N/T"</formula>
    </cfRule>
    <cfRule type="cellIs" dxfId="370" priority="166" stopIfTrue="1" operator="equal">
      <formula>"N/D"</formula>
    </cfRule>
  </conditionalFormatting>
  <conditionalFormatting sqref="D1007:D1041">
    <cfRule type="cellIs" dxfId="369" priority="160" stopIfTrue="1" operator="equal">
      <formula>"-"</formula>
    </cfRule>
  </conditionalFormatting>
  <conditionalFormatting sqref="D1045:D1079">
    <cfRule type="expression" dxfId="368" priority="154" stopIfTrue="1">
      <formula>ISBLANK(D1045)</formula>
    </cfRule>
    <cfRule type="cellIs" dxfId="367" priority="155" stopIfTrue="1" operator="equal">
      <formula>"Pasa"</formula>
    </cfRule>
    <cfRule type="cellIs" dxfId="366" priority="156" stopIfTrue="1" operator="equal">
      <formula>"Falla"</formula>
    </cfRule>
    <cfRule type="cellIs" dxfId="365" priority="157" stopIfTrue="1" operator="equal">
      <formula>"N/A"</formula>
    </cfRule>
    <cfRule type="cellIs" dxfId="364" priority="158" stopIfTrue="1" operator="equal">
      <formula>"N/T"</formula>
    </cfRule>
    <cfRule type="cellIs" dxfId="363" priority="159" stopIfTrue="1" operator="equal">
      <formula>"N/D"</formula>
    </cfRule>
  </conditionalFormatting>
  <conditionalFormatting sqref="D1045:D1079">
    <cfRule type="cellIs" dxfId="362" priority="153" stopIfTrue="1" operator="equal">
      <formula>"-"</formula>
    </cfRule>
  </conditionalFormatting>
  <conditionalFormatting sqref="D1083:D1117">
    <cfRule type="expression" dxfId="361" priority="147" stopIfTrue="1">
      <formula>ISBLANK(D1083)</formula>
    </cfRule>
    <cfRule type="cellIs" dxfId="360" priority="148" stopIfTrue="1" operator="equal">
      <formula>"Pasa"</formula>
    </cfRule>
    <cfRule type="cellIs" dxfId="359" priority="149" stopIfTrue="1" operator="equal">
      <formula>"Falla"</formula>
    </cfRule>
    <cfRule type="cellIs" dxfId="358" priority="150" stopIfTrue="1" operator="equal">
      <formula>"N/A"</formula>
    </cfRule>
    <cfRule type="cellIs" dxfId="357" priority="151" stopIfTrue="1" operator="equal">
      <formula>"N/T"</formula>
    </cfRule>
    <cfRule type="cellIs" dxfId="356" priority="152" stopIfTrue="1" operator="equal">
      <formula>"N/D"</formula>
    </cfRule>
  </conditionalFormatting>
  <conditionalFormatting sqref="D1083:D1117">
    <cfRule type="cellIs" dxfId="355" priority="146" stopIfTrue="1" operator="equal">
      <formula>"-"</formula>
    </cfRule>
  </conditionalFormatting>
  <conditionalFormatting sqref="D1121:D1155">
    <cfRule type="expression" dxfId="354" priority="140" stopIfTrue="1">
      <formula>ISBLANK(D1121)</formula>
    </cfRule>
    <cfRule type="cellIs" dxfId="353" priority="141" stopIfTrue="1" operator="equal">
      <formula>"Pasa"</formula>
    </cfRule>
    <cfRule type="cellIs" dxfId="352" priority="142" stopIfTrue="1" operator="equal">
      <formula>"Falla"</formula>
    </cfRule>
    <cfRule type="cellIs" dxfId="351" priority="143" stopIfTrue="1" operator="equal">
      <formula>"N/A"</formula>
    </cfRule>
    <cfRule type="cellIs" dxfId="350" priority="144" stopIfTrue="1" operator="equal">
      <formula>"N/T"</formula>
    </cfRule>
    <cfRule type="cellIs" dxfId="349" priority="145" stopIfTrue="1" operator="equal">
      <formula>"N/D"</formula>
    </cfRule>
  </conditionalFormatting>
  <conditionalFormatting sqref="D1121:D1155">
    <cfRule type="cellIs" dxfId="348" priority="139" stopIfTrue="1" operator="equal">
      <formula>"-"</formula>
    </cfRule>
  </conditionalFormatting>
  <conditionalFormatting sqref="D1159:D1193">
    <cfRule type="expression" dxfId="347" priority="133" stopIfTrue="1">
      <formula>ISBLANK(D1159)</formula>
    </cfRule>
    <cfRule type="cellIs" dxfId="346" priority="134" stopIfTrue="1" operator="equal">
      <formula>"Pasa"</formula>
    </cfRule>
    <cfRule type="cellIs" dxfId="345" priority="135" stopIfTrue="1" operator="equal">
      <formula>"Falla"</formula>
    </cfRule>
    <cfRule type="cellIs" dxfId="344" priority="136" stopIfTrue="1" operator="equal">
      <formula>"N/A"</formula>
    </cfRule>
    <cfRule type="cellIs" dxfId="343" priority="137" stopIfTrue="1" operator="equal">
      <formula>"N/T"</formula>
    </cfRule>
    <cfRule type="cellIs" dxfId="342" priority="138" stopIfTrue="1" operator="equal">
      <formula>"N/D"</formula>
    </cfRule>
  </conditionalFormatting>
  <conditionalFormatting sqref="D1159:D1193">
    <cfRule type="cellIs" dxfId="341" priority="132" stopIfTrue="1" operator="equal">
      <formula>"-"</formula>
    </cfRule>
  </conditionalFormatting>
  <conditionalFormatting sqref="D1197:D1231">
    <cfRule type="expression" dxfId="340" priority="126" stopIfTrue="1">
      <formula>ISBLANK(D1197)</formula>
    </cfRule>
    <cfRule type="cellIs" dxfId="339" priority="127" stopIfTrue="1" operator="equal">
      <formula>"Pasa"</formula>
    </cfRule>
    <cfRule type="cellIs" dxfId="338" priority="128" stopIfTrue="1" operator="equal">
      <formula>"Falla"</formula>
    </cfRule>
    <cfRule type="cellIs" dxfId="337" priority="129" stopIfTrue="1" operator="equal">
      <formula>"N/A"</formula>
    </cfRule>
    <cfRule type="cellIs" dxfId="336" priority="130" stopIfTrue="1" operator="equal">
      <formula>"N/T"</formula>
    </cfRule>
    <cfRule type="cellIs" dxfId="335" priority="131" stopIfTrue="1" operator="equal">
      <formula>"N/D"</formula>
    </cfRule>
  </conditionalFormatting>
  <conditionalFormatting sqref="D1197:D1231">
    <cfRule type="cellIs" dxfId="334" priority="125" stopIfTrue="1" operator="equal">
      <formula>"-"</formula>
    </cfRule>
  </conditionalFormatting>
  <conditionalFormatting sqref="D1235:D1269">
    <cfRule type="expression" dxfId="333" priority="119" stopIfTrue="1">
      <formula>ISBLANK(D1235)</formula>
    </cfRule>
    <cfRule type="cellIs" dxfId="332" priority="120" stopIfTrue="1" operator="equal">
      <formula>"Pasa"</formula>
    </cfRule>
    <cfRule type="cellIs" dxfId="331" priority="121" stopIfTrue="1" operator="equal">
      <formula>"Falla"</formula>
    </cfRule>
    <cfRule type="cellIs" dxfId="330" priority="122" stopIfTrue="1" operator="equal">
      <formula>"N/A"</formula>
    </cfRule>
    <cfRule type="cellIs" dxfId="329" priority="123" stopIfTrue="1" operator="equal">
      <formula>"N/T"</formula>
    </cfRule>
    <cfRule type="cellIs" dxfId="328" priority="124" stopIfTrue="1" operator="equal">
      <formula>"N/D"</formula>
    </cfRule>
  </conditionalFormatting>
  <conditionalFormatting sqref="D1235:D1269">
    <cfRule type="cellIs" dxfId="327" priority="118" stopIfTrue="1" operator="equal">
      <formula>"-"</formula>
    </cfRule>
  </conditionalFormatting>
  <conditionalFormatting sqref="D1273:D1307">
    <cfRule type="expression" dxfId="326" priority="112" stopIfTrue="1">
      <formula>ISBLANK(D1273)</formula>
    </cfRule>
    <cfRule type="cellIs" dxfId="325" priority="113" stopIfTrue="1" operator="equal">
      <formula>"Pasa"</formula>
    </cfRule>
    <cfRule type="cellIs" dxfId="324" priority="114" stopIfTrue="1" operator="equal">
      <formula>"Falla"</formula>
    </cfRule>
    <cfRule type="cellIs" dxfId="323" priority="115" stopIfTrue="1" operator="equal">
      <formula>"N/A"</formula>
    </cfRule>
    <cfRule type="cellIs" dxfId="322" priority="116" stopIfTrue="1" operator="equal">
      <formula>"N/T"</formula>
    </cfRule>
    <cfRule type="cellIs" dxfId="321" priority="117" stopIfTrue="1" operator="equal">
      <formula>"N/D"</formula>
    </cfRule>
  </conditionalFormatting>
  <conditionalFormatting sqref="D1273:D1307">
    <cfRule type="cellIs" dxfId="320" priority="111" stopIfTrue="1" operator="equal">
      <formula>"-"</formula>
    </cfRule>
  </conditionalFormatting>
  <conditionalFormatting sqref="D1311:D1345">
    <cfRule type="expression" dxfId="319" priority="105" stopIfTrue="1">
      <formula>ISBLANK(D1311)</formula>
    </cfRule>
    <cfRule type="cellIs" dxfId="318" priority="106" stopIfTrue="1" operator="equal">
      <formula>"Pasa"</formula>
    </cfRule>
    <cfRule type="cellIs" dxfId="317" priority="107" stopIfTrue="1" operator="equal">
      <formula>"Falla"</formula>
    </cfRule>
    <cfRule type="cellIs" dxfId="316" priority="108" stopIfTrue="1" operator="equal">
      <formula>"N/A"</formula>
    </cfRule>
    <cfRule type="cellIs" dxfId="315" priority="109" stopIfTrue="1" operator="equal">
      <formula>"N/T"</formula>
    </cfRule>
    <cfRule type="cellIs" dxfId="314" priority="110" stopIfTrue="1" operator="equal">
      <formula>"N/D"</formula>
    </cfRule>
  </conditionalFormatting>
  <conditionalFormatting sqref="D1311:D1345">
    <cfRule type="cellIs" dxfId="313" priority="104" stopIfTrue="1" operator="equal">
      <formula>"-"</formula>
    </cfRule>
  </conditionalFormatting>
  <conditionalFormatting sqref="D1349:D1383">
    <cfRule type="expression" dxfId="312" priority="98" stopIfTrue="1">
      <formula>ISBLANK(D1349)</formula>
    </cfRule>
    <cfRule type="cellIs" dxfId="311" priority="99" stopIfTrue="1" operator="equal">
      <formula>"Pasa"</formula>
    </cfRule>
    <cfRule type="cellIs" dxfId="310" priority="100" stopIfTrue="1" operator="equal">
      <formula>"Falla"</formula>
    </cfRule>
    <cfRule type="cellIs" dxfId="309" priority="101" stopIfTrue="1" operator="equal">
      <formula>"N/A"</formula>
    </cfRule>
    <cfRule type="cellIs" dxfId="308" priority="102" stopIfTrue="1" operator="equal">
      <formula>"N/T"</formula>
    </cfRule>
    <cfRule type="cellIs" dxfId="307" priority="103" stopIfTrue="1" operator="equal">
      <formula>"N/D"</formula>
    </cfRule>
  </conditionalFormatting>
  <conditionalFormatting sqref="D1349:D1383">
    <cfRule type="cellIs" dxfId="306" priority="97" stopIfTrue="1" operator="equal">
      <formula>"-"</formula>
    </cfRule>
  </conditionalFormatting>
  <conditionalFormatting sqref="D1387:D1421">
    <cfRule type="expression" dxfId="305" priority="91" stopIfTrue="1">
      <formula>ISBLANK(D1387)</formula>
    </cfRule>
    <cfRule type="cellIs" dxfId="304" priority="92" stopIfTrue="1" operator="equal">
      <formula>"Pasa"</formula>
    </cfRule>
    <cfRule type="cellIs" dxfId="303" priority="93" stopIfTrue="1" operator="equal">
      <formula>"Falla"</formula>
    </cfRule>
    <cfRule type="cellIs" dxfId="302" priority="94" stopIfTrue="1" operator="equal">
      <formula>"N/A"</formula>
    </cfRule>
    <cfRule type="cellIs" dxfId="301" priority="95" stopIfTrue="1" operator="equal">
      <formula>"N/T"</formula>
    </cfRule>
    <cfRule type="cellIs" dxfId="300" priority="96" stopIfTrue="1" operator="equal">
      <formula>"N/D"</formula>
    </cfRule>
  </conditionalFormatting>
  <conditionalFormatting sqref="D1387:D1421">
    <cfRule type="cellIs" dxfId="299" priority="90" stopIfTrue="1" operator="equal">
      <formula>"-"</formula>
    </cfRule>
  </conditionalFormatting>
  <conditionalFormatting sqref="D1425:D1459">
    <cfRule type="expression" dxfId="298" priority="84" stopIfTrue="1">
      <formula>ISBLANK(D1425)</formula>
    </cfRule>
    <cfRule type="cellIs" dxfId="297" priority="85" stopIfTrue="1" operator="equal">
      <formula>"Pasa"</formula>
    </cfRule>
    <cfRule type="cellIs" dxfId="296" priority="86" stopIfTrue="1" operator="equal">
      <formula>"Falla"</formula>
    </cfRule>
    <cfRule type="cellIs" dxfId="295" priority="87" stopIfTrue="1" operator="equal">
      <formula>"N/A"</formula>
    </cfRule>
    <cfRule type="cellIs" dxfId="294" priority="88" stopIfTrue="1" operator="equal">
      <formula>"N/T"</formula>
    </cfRule>
    <cfRule type="cellIs" dxfId="293" priority="89" stopIfTrue="1" operator="equal">
      <formula>"N/D"</formula>
    </cfRule>
  </conditionalFormatting>
  <conditionalFormatting sqref="D1425:D1459">
    <cfRule type="cellIs" dxfId="292" priority="83" stopIfTrue="1" operator="equal">
      <formula>"-"</formula>
    </cfRule>
  </conditionalFormatting>
  <conditionalFormatting sqref="D1463:D1497">
    <cfRule type="expression" dxfId="291" priority="77" stopIfTrue="1">
      <formula>ISBLANK(D1463)</formula>
    </cfRule>
    <cfRule type="cellIs" dxfId="290" priority="78" stopIfTrue="1" operator="equal">
      <formula>"Pasa"</formula>
    </cfRule>
    <cfRule type="cellIs" dxfId="289" priority="79" stopIfTrue="1" operator="equal">
      <formula>"Falla"</formula>
    </cfRule>
    <cfRule type="cellIs" dxfId="288" priority="80" stopIfTrue="1" operator="equal">
      <formula>"N/A"</formula>
    </cfRule>
    <cfRule type="cellIs" dxfId="287" priority="81" stopIfTrue="1" operator="equal">
      <formula>"N/T"</formula>
    </cfRule>
    <cfRule type="cellIs" dxfId="286" priority="82" stopIfTrue="1" operator="equal">
      <formula>"N/D"</formula>
    </cfRule>
  </conditionalFormatting>
  <conditionalFormatting sqref="D1463:D1497">
    <cfRule type="cellIs" dxfId="285" priority="76" stopIfTrue="1" operator="equal">
      <formula>"-"</formula>
    </cfRule>
  </conditionalFormatting>
  <conditionalFormatting sqref="D1501:D1535">
    <cfRule type="expression" dxfId="284" priority="70" stopIfTrue="1">
      <formula>ISBLANK(D1501)</formula>
    </cfRule>
    <cfRule type="cellIs" dxfId="283" priority="71" stopIfTrue="1" operator="equal">
      <formula>"Pasa"</formula>
    </cfRule>
    <cfRule type="cellIs" dxfId="282" priority="72" stopIfTrue="1" operator="equal">
      <formula>"Falla"</formula>
    </cfRule>
    <cfRule type="cellIs" dxfId="281" priority="73" stopIfTrue="1" operator="equal">
      <formula>"N/A"</formula>
    </cfRule>
    <cfRule type="cellIs" dxfId="280" priority="74" stopIfTrue="1" operator="equal">
      <formula>"N/T"</formula>
    </cfRule>
    <cfRule type="cellIs" dxfId="279" priority="75" stopIfTrue="1" operator="equal">
      <formula>"N/D"</formula>
    </cfRule>
  </conditionalFormatting>
  <conditionalFormatting sqref="D1501:D1535">
    <cfRule type="cellIs" dxfId="278" priority="69" stopIfTrue="1" operator="equal">
      <formula>"-"</formula>
    </cfRule>
  </conditionalFormatting>
  <conditionalFormatting sqref="D1539:D1573">
    <cfRule type="expression" dxfId="277" priority="63" stopIfTrue="1">
      <formula>ISBLANK(D1539)</formula>
    </cfRule>
    <cfRule type="cellIs" dxfId="276" priority="64" stopIfTrue="1" operator="equal">
      <formula>"Pasa"</formula>
    </cfRule>
    <cfRule type="cellIs" dxfId="275" priority="65" stopIfTrue="1" operator="equal">
      <formula>"Falla"</formula>
    </cfRule>
    <cfRule type="cellIs" dxfId="274" priority="66" stopIfTrue="1" operator="equal">
      <formula>"N/A"</formula>
    </cfRule>
    <cfRule type="cellIs" dxfId="273" priority="67" stopIfTrue="1" operator="equal">
      <formula>"N/T"</formula>
    </cfRule>
    <cfRule type="cellIs" dxfId="272" priority="68" stopIfTrue="1" operator="equal">
      <formula>"N/D"</formula>
    </cfRule>
  </conditionalFormatting>
  <conditionalFormatting sqref="D1539:D1573">
    <cfRule type="cellIs" dxfId="271" priority="62" stopIfTrue="1" operator="equal">
      <formula>"-"</formula>
    </cfRule>
  </conditionalFormatting>
  <conditionalFormatting sqref="D1577:D1611">
    <cfRule type="expression" dxfId="270" priority="56" stopIfTrue="1">
      <formula>ISBLANK(D1577)</formula>
    </cfRule>
    <cfRule type="cellIs" dxfId="269" priority="57" stopIfTrue="1" operator="equal">
      <formula>"Pasa"</formula>
    </cfRule>
    <cfRule type="cellIs" dxfId="268" priority="58" stopIfTrue="1" operator="equal">
      <formula>"Falla"</formula>
    </cfRule>
    <cfRule type="cellIs" dxfId="267" priority="59" stopIfTrue="1" operator="equal">
      <formula>"N/A"</formula>
    </cfRule>
    <cfRule type="cellIs" dxfId="266" priority="60" stopIfTrue="1" operator="equal">
      <formula>"N/T"</formula>
    </cfRule>
    <cfRule type="cellIs" dxfId="265" priority="61" stopIfTrue="1" operator="equal">
      <formula>"N/D"</formula>
    </cfRule>
  </conditionalFormatting>
  <conditionalFormatting sqref="D1577:D1611">
    <cfRule type="cellIs" dxfId="264" priority="55" stopIfTrue="1" operator="equal">
      <formula>"-"</formula>
    </cfRule>
  </conditionalFormatting>
  <conditionalFormatting sqref="D1615:D1649">
    <cfRule type="expression" dxfId="263" priority="49" stopIfTrue="1">
      <formula>ISBLANK(D1615)</formula>
    </cfRule>
    <cfRule type="cellIs" dxfId="262" priority="50" stopIfTrue="1" operator="equal">
      <formula>"Pasa"</formula>
    </cfRule>
    <cfRule type="cellIs" dxfId="261" priority="51" stopIfTrue="1" operator="equal">
      <formula>"Falla"</formula>
    </cfRule>
    <cfRule type="cellIs" dxfId="260" priority="52" stopIfTrue="1" operator="equal">
      <formula>"N/A"</formula>
    </cfRule>
    <cfRule type="cellIs" dxfId="259" priority="53" stopIfTrue="1" operator="equal">
      <formula>"N/T"</formula>
    </cfRule>
    <cfRule type="cellIs" dxfId="258" priority="54" stopIfTrue="1" operator="equal">
      <formula>"N/D"</formula>
    </cfRule>
  </conditionalFormatting>
  <conditionalFormatting sqref="D1615:D1649">
    <cfRule type="cellIs" dxfId="257" priority="48" stopIfTrue="1" operator="equal">
      <formula>"-"</formula>
    </cfRule>
  </conditionalFormatting>
  <conditionalFormatting sqref="D1653:D1687">
    <cfRule type="expression" dxfId="256" priority="42" stopIfTrue="1">
      <formula>ISBLANK(D1653)</formula>
    </cfRule>
    <cfRule type="cellIs" dxfId="255" priority="43" stopIfTrue="1" operator="equal">
      <formula>"Pasa"</formula>
    </cfRule>
    <cfRule type="cellIs" dxfId="254" priority="44" stopIfTrue="1" operator="equal">
      <formula>"Falla"</formula>
    </cfRule>
    <cfRule type="cellIs" dxfId="253" priority="45" stopIfTrue="1" operator="equal">
      <formula>"N/A"</formula>
    </cfRule>
    <cfRule type="cellIs" dxfId="252" priority="46" stopIfTrue="1" operator="equal">
      <formula>"N/T"</formula>
    </cfRule>
    <cfRule type="cellIs" dxfId="251" priority="47" stopIfTrue="1" operator="equal">
      <formula>"N/D"</formula>
    </cfRule>
  </conditionalFormatting>
  <conditionalFormatting sqref="D1653:D1687">
    <cfRule type="cellIs" dxfId="250" priority="41" stopIfTrue="1" operator="equal">
      <formula>"-"</formula>
    </cfRule>
  </conditionalFormatting>
  <conditionalFormatting sqref="E1691:E1725">
    <cfRule type="cellIs" dxfId="249" priority="26" stopIfTrue="1" operator="equal">
      <formula>"ERR"</formula>
    </cfRule>
  </conditionalFormatting>
  <conditionalFormatting sqref="D1691:D1725">
    <cfRule type="expression" dxfId="248" priority="14" stopIfTrue="1">
      <formula>ISBLANK(D1691)</formula>
    </cfRule>
    <cfRule type="cellIs" dxfId="247" priority="15" stopIfTrue="1" operator="equal">
      <formula>"Pasa"</formula>
    </cfRule>
    <cfRule type="cellIs" dxfId="246" priority="16" stopIfTrue="1" operator="equal">
      <formula>"Falla"</formula>
    </cfRule>
    <cfRule type="cellIs" dxfId="245" priority="17" stopIfTrue="1" operator="equal">
      <formula>"N/A"</formula>
    </cfRule>
    <cfRule type="cellIs" dxfId="244" priority="18" stopIfTrue="1" operator="equal">
      <formula>"N/T"</formula>
    </cfRule>
    <cfRule type="cellIs" dxfId="243" priority="19" stopIfTrue="1" operator="equal">
      <formula>"N/D"</formula>
    </cfRule>
  </conditionalFormatting>
  <conditionalFormatting sqref="D1691:D1725">
    <cfRule type="cellIs" dxfId="242" priority="13" stopIfTrue="1" operator="equal">
      <formula>"-"</formula>
    </cfRule>
  </conditionalFormatting>
  <conditionalFormatting sqref="K23">
    <cfRule type="expression" dxfId="241" priority="7" stopIfTrue="1">
      <formula>ISBLANK(K23)</formula>
    </cfRule>
    <cfRule type="cellIs" dxfId="240" priority="8" stopIfTrue="1" operator="equal">
      <formula>"Pasa"</formula>
    </cfRule>
    <cfRule type="cellIs" dxfId="239" priority="9" stopIfTrue="1" operator="equal">
      <formula>"Falla"</formula>
    </cfRule>
    <cfRule type="cellIs" dxfId="238" priority="10" stopIfTrue="1" operator="equal">
      <formula>"N/A"</formula>
    </cfRule>
    <cfRule type="cellIs" dxfId="237" priority="11" stopIfTrue="1" operator="equal">
      <formula>"N/T"</formula>
    </cfRule>
    <cfRule type="cellIs" dxfId="236" priority="12" stopIfTrue="1" operator="equal">
      <formula>"N/D"</formula>
    </cfRule>
  </conditionalFormatting>
  <conditionalFormatting sqref="K24">
    <cfRule type="expression" dxfId="235" priority="1" stopIfTrue="1">
      <formula>ISBLANK(K24)</formula>
    </cfRule>
    <cfRule type="cellIs" dxfId="234" priority="2" stopIfTrue="1" operator="equal">
      <formula>"Pasa"</formula>
    </cfRule>
    <cfRule type="cellIs" dxfId="233" priority="3" stopIfTrue="1" operator="equal">
      <formula>"Falla"</formula>
    </cfRule>
    <cfRule type="cellIs" dxfId="232" priority="4" stopIfTrue="1" operator="equal">
      <formula>"N/A"</formula>
    </cfRule>
    <cfRule type="cellIs" dxfId="231" priority="5" stopIfTrue="1" operator="equal">
      <formula>"N/T"</formula>
    </cfRule>
    <cfRule type="cellIs" dxfId="23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2020-03-26T13:14:48Z</dcterms:created>
  <dc:creator>DAVID LUBIAN ESPINOSA</dc:creator>
  <dc:language>es-ES</dc:language>
  <cp:lastModifiedBy>SANDRA SABROSO TORRES</cp:lastModifiedBy>
  <cp:lastPrinted>2020-09-14T10:56:43Z</cp:lastPrinted>
  <dcterms:modified xsi:type="dcterms:W3CDTF">2022-08-31T11:43:13Z</dcterms:modified>
  <cp:revision>109</cp:revision>
</cp:coreProperties>
</file>